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reese\Desktop\Diversified, Eff Front, FF3-CAPM, Finding Beta\Current\"/>
    </mc:Choice>
  </mc:AlternateContent>
  <xr:revisionPtr revIDLastSave="0" documentId="13_ncr:1_{DBE3185A-721D-40AE-BA91-EE77C124EE6D}" xr6:coauthVersionLast="47" xr6:coauthVersionMax="47" xr10:uidLastSave="{00000000-0000-0000-0000-000000000000}"/>
  <bookViews>
    <workbookView xWindow="-120" yWindow="-120" windowWidth="29040" windowHeight="15720" xr2:uid="{672DB47C-4F97-472D-95BF-F5A261BF8F46}"/>
  </bookViews>
  <sheets>
    <sheet name="Inputs" sheetId="1" r:id="rId1"/>
    <sheet name="Returns" sheetId="2" r:id="rId2"/>
    <sheet name="Correlation Matrix" sheetId="3" r:id="rId3"/>
    <sheet name="Covar Matrix" sheetId="4" r:id="rId4"/>
    <sheet name="Efficient Frontier" sheetId="5" r:id="rId5"/>
  </sheets>
  <definedNames>
    <definedName name="_1">Returns!$K$4:$K$63</definedName>
    <definedName name="_2">Returns!$L$4:$L$63</definedName>
    <definedName name="_3">Returns!$M$4:$M$63</definedName>
    <definedName name="_4">Returns!$N$4:$N$63</definedName>
    <definedName name="_5">Returns!$O$4:$O$63</definedName>
    <definedName name="_6">Returns!$P$4:$P$63</definedName>
    <definedName name="_7">Returns!$Q$4:$Q$63</definedName>
    <definedName name="_8">Returns!$R$4:$R$63</definedName>
    <definedName name="endDate">Inputs!$B$6</definedName>
    <definedName name="solver_adj" localSheetId="3" hidden="1">'Covar Matrix'!$B$15:$B$22</definedName>
    <definedName name="solver_cvg" localSheetId="3" hidden="1">0.0001</definedName>
    <definedName name="solver_drv" localSheetId="3" hidden="1">2</definedName>
    <definedName name="solver_eng" localSheetId="3" hidden="1">1</definedName>
    <definedName name="solver_est" localSheetId="3" hidden="1">1</definedName>
    <definedName name="solver_itr" localSheetId="3" hidden="1">2147483647</definedName>
    <definedName name="solver_lhs1" localSheetId="3" hidden="1">'Covar Matrix'!$B$23</definedName>
    <definedName name="solver_lhs2" localSheetId="3" hidden="1">'Covar Matrix'!$B$27</definedName>
    <definedName name="solver_mip" localSheetId="3" hidden="1">2147483647</definedName>
    <definedName name="solver_mni" localSheetId="3" hidden="1">30</definedName>
    <definedName name="solver_mrt" localSheetId="3" hidden="1">0.075</definedName>
    <definedName name="solver_msl" localSheetId="3" hidden="1">2</definedName>
    <definedName name="solver_neg" localSheetId="3" hidden="1">2</definedName>
    <definedName name="solver_nod" localSheetId="3" hidden="1">2147483647</definedName>
    <definedName name="solver_num" localSheetId="3" hidden="1">2</definedName>
    <definedName name="solver_nwt" localSheetId="3" hidden="1">1</definedName>
    <definedName name="solver_opt" localSheetId="3" hidden="1">'Covar Matrix'!$B$26</definedName>
    <definedName name="solver_pre" localSheetId="3" hidden="1">0.000001</definedName>
    <definedName name="solver_rbv" localSheetId="3" hidden="1">2</definedName>
    <definedName name="solver_rel1" localSheetId="3" hidden="1">2</definedName>
    <definedName name="solver_rel2" localSheetId="3" hidden="1">2</definedName>
    <definedName name="solver_rhs1" localSheetId="3" hidden="1">1</definedName>
    <definedName name="solver_rhs2" localSheetId="3" hidden="1">0.02</definedName>
    <definedName name="solver_rlx" localSheetId="3" hidden="1">2</definedName>
    <definedName name="solver_rsd" localSheetId="3" hidden="1">0</definedName>
    <definedName name="solver_scl" localSheetId="3" hidden="1">2</definedName>
    <definedName name="solver_sho" localSheetId="3" hidden="1">2</definedName>
    <definedName name="solver_ssz" localSheetId="3" hidden="1">100</definedName>
    <definedName name="solver_tim" localSheetId="3" hidden="1">2147483647</definedName>
    <definedName name="solver_tol" localSheetId="3" hidden="1">0.01</definedName>
    <definedName name="solver_typ" localSheetId="3" hidden="1">2</definedName>
    <definedName name="solver_val" localSheetId="3" hidden="1">0</definedName>
    <definedName name="solver_ver" localSheetId="3" hidden="1">3</definedName>
    <definedName name="startDate">Inputs!$B$5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4" l="1"/>
  <c r="I14" i="4"/>
  <c r="C14" i="4"/>
  <c r="D14" i="4"/>
  <c r="D2" i="5"/>
  <c r="E2" i="5"/>
  <c r="F2" i="5"/>
  <c r="G2" i="5"/>
  <c r="H2" i="5"/>
  <c r="I2" i="5"/>
  <c r="J2" i="5"/>
  <c r="D3" i="3"/>
  <c r="B5" i="3" s="1"/>
  <c r="L5" i="3" s="1"/>
  <c r="E3" i="3"/>
  <c r="B6" i="3" s="1"/>
  <c r="L6" i="3" s="1"/>
  <c r="F3" i="3"/>
  <c r="B7" i="3" s="1"/>
  <c r="L7" i="3" s="1"/>
  <c r="G3" i="3"/>
  <c r="H3" i="3"/>
  <c r="I3" i="3"/>
  <c r="J3" i="3"/>
  <c r="D2" i="3"/>
  <c r="E2" i="3"/>
  <c r="F2" i="3"/>
  <c r="G2" i="3"/>
  <c r="H2" i="3"/>
  <c r="I2" i="3"/>
  <c r="J2" i="3"/>
  <c r="A11" i="3" s="1"/>
  <c r="C2" i="3"/>
  <c r="A4" i="3" s="1"/>
  <c r="J14" i="4"/>
  <c r="G14" i="4"/>
  <c r="F14" i="4"/>
  <c r="E14" i="4"/>
  <c r="B11" i="3"/>
  <c r="L11" i="3" s="1"/>
  <c r="B10" i="3"/>
  <c r="L10" i="3" s="1"/>
  <c r="H2" i="4"/>
  <c r="H13" i="4" s="1"/>
  <c r="B8" i="3"/>
  <c r="L8" i="3" s="1"/>
  <c r="A10" i="3"/>
  <c r="A9" i="3"/>
  <c r="A8" i="3"/>
  <c r="A7" i="3"/>
  <c r="A6" i="3"/>
  <c r="A5" i="3"/>
  <c r="I2" i="2"/>
  <c r="R2" i="2" s="1"/>
  <c r="H2" i="2"/>
  <c r="Q2" i="2" s="1"/>
  <c r="G2" i="2"/>
  <c r="P2" i="2" s="1"/>
  <c r="F2" i="2"/>
  <c r="O2" i="2" s="1"/>
  <c r="E2" i="2"/>
  <c r="N2" i="2" s="1"/>
  <c r="D2" i="2"/>
  <c r="M2" i="2" s="1"/>
  <c r="C2" i="2"/>
  <c r="L2" i="2" s="1"/>
  <c r="B2" i="2"/>
  <c r="U2" i="2"/>
  <c r="U1" i="2"/>
  <c r="S2" i="2"/>
  <c r="B4" i="1"/>
  <c r="B5" i="1" s="1"/>
  <c r="B23" i="4" l="1"/>
  <c r="F2" i="4"/>
  <c r="F13" i="4" s="1"/>
  <c r="D2" i="4"/>
  <c r="D13" i="4" s="1"/>
  <c r="B9" i="3"/>
  <c r="L9" i="3" s="1"/>
  <c r="J2" i="4"/>
  <c r="J13" i="4" s="1"/>
  <c r="I2" i="4"/>
  <c r="I13" i="4" s="1"/>
  <c r="G2" i="4"/>
  <c r="G13" i="4" s="1"/>
  <c r="E2" i="4"/>
  <c r="E13" i="4" s="1"/>
  <c r="B8" i="4"/>
  <c r="A20" i="4" s="1"/>
  <c r="B6" i="4"/>
  <c r="A18" i="4" s="1"/>
  <c r="K2" i="2"/>
  <c r="C3" i="3" s="1"/>
  <c r="B4" i="3" s="1"/>
  <c r="L4" i="3" s="1"/>
  <c r="B6" i="1"/>
  <c r="C2" i="4" l="1"/>
  <c r="C13" i="4" s="1"/>
  <c r="C2" i="5" s="1"/>
  <c r="B4" i="4"/>
  <c r="A16" i="4" s="1"/>
  <c r="B3" i="4"/>
  <c r="A15" i="4" s="1"/>
  <c r="B10" i="4"/>
  <c r="A22" i="4" s="1"/>
  <c r="B9" i="4"/>
  <c r="A21" i="4" s="1"/>
  <c r="B7" i="4"/>
  <c r="A19" i="4" s="1"/>
  <c r="B5" i="4"/>
  <c r="A17" i="4" s="1"/>
  <c r="A72" i="2"/>
  <c r="A71" i="2"/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C3" i="2" a="1"/>
  <c r="F3" i="2" a="1"/>
  <c r="I3" i="2" a="1"/>
  <c r="D3" i="2" a="1"/>
  <c r="E3" i="2" a="1"/>
  <c r="H3" i="2" a="1"/>
  <c r="B3" i="2" a="1"/>
  <c r="J3" i="2" a="1"/>
  <c r="G3" i="2" a="1"/>
  <c r="Q63" i="2" l="1"/>
  <c r="Q59" i="2"/>
  <c r="Q55" i="2"/>
  <c r="Q51" i="2"/>
  <c r="Q47" i="2"/>
  <c r="Q43" i="2"/>
  <c r="Q39" i="2"/>
  <c r="Q35" i="2"/>
  <c r="Q31" i="2"/>
  <c r="Q27" i="2"/>
  <c r="Q23" i="2"/>
  <c r="Q19" i="2"/>
  <c r="Q15" i="2"/>
  <c r="Q11" i="2"/>
  <c r="Q7" i="2"/>
  <c r="Q62" i="2"/>
  <c r="Q58" i="2"/>
  <c r="Q54" i="2"/>
  <c r="Q50" i="2"/>
  <c r="Q46" i="2"/>
  <c r="Q42" i="2"/>
  <c r="Q38" i="2"/>
  <c r="Q34" i="2"/>
  <c r="Q30" i="2"/>
  <c r="Q26" i="2"/>
  <c r="Q22" i="2"/>
  <c r="Q18" i="2"/>
  <c r="Q14" i="2"/>
  <c r="Q10" i="2"/>
  <c r="Q6" i="2"/>
  <c r="H3" i="2"/>
  <c r="Q4" i="2" s="1"/>
  <c r="Q61" i="2"/>
  <c r="Q40" i="2"/>
  <c r="Q29" i="2"/>
  <c r="Q17" i="2"/>
  <c r="Q25" i="2"/>
  <c r="Q44" i="2"/>
  <c r="Q33" i="2"/>
  <c r="Q48" i="2"/>
  <c r="Q37" i="2"/>
  <c r="Q16" i="2"/>
  <c r="Q12" i="2"/>
  <c r="Q56" i="2"/>
  <c r="Q45" i="2"/>
  <c r="Q13" i="2"/>
  <c r="Q60" i="2"/>
  <c r="Q8" i="2"/>
  <c r="Q52" i="2"/>
  <c r="Q41" i="2"/>
  <c r="Q20" i="2"/>
  <c r="Q5" i="2"/>
  <c r="Q24" i="2"/>
  <c r="Q49" i="2"/>
  <c r="Q28" i="2"/>
  <c r="Q9" i="2"/>
  <c r="Q53" i="2"/>
  <c r="Q32" i="2"/>
  <c r="Q21" i="2"/>
  <c r="Q57" i="2"/>
  <c r="Q36" i="2"/>
  <c r="S62" i="2"/>
  <c r="S58" i="2"/>
  <c r="S54" i="2"/>
  <c r="S50" i="2"/>
  <c r="S46" i="2"/>
  <c r="S42" i="2"/>
  <c r="S38" i="2"/>
  <c r="S34" i="2"/>
  <c r="S30" i="2"/>
  <c r="S26" i="2"/>
  <c r="S22" i="2"/>
  <c r="S18" i="2"/>
  <c r="S14" i="2"/>
  <c r="S10" i="2"/>
  <c r="S6" i="2"/>
  <c r="S61" i="2"/>
  <c r="S57" i="2"/>
  <c r="S53" i="2"/>
  <c r="S49" i="2"/>
  <c r="S45" i="2"/>
  <c r="S41" i="2"/>
  <c r="S37" i="2"/>
  <c r="S33" i="2"/>
  <c r="S29" i="2"/>
  <c r="S25" i="2"/>
  <c r="S21" i="2"/>
  <c r="S17" i="2"/>
  <c r="S13" i="2"/>
  <c r="S9" i="2"/>
  <c r="S5" i="2"/>
  <c r="S59" i="2"/>
  <c r="S48" i="2"/>
  <c r="S27" i="2"/>
  <c r="S16" i="2"/>
  <c r="S12" i="2"/>
  <c r="S63" i="2"/>
  <c r="S52" i="2"/>
  <c r="S31" i="2"/>
  <c r="S20" i="2"/>
  <c r="J3" i="2"/>
  <c r="S4" i="2" s="1"/>
  <c r="S56" i="2"/>
  <c r="S35" i="2"/>
  <c r="S24" i="2"/>
  <c r="S60" i="2"/>
  <c r="S39" i="2"/>
  <c r="S28" i="2"/>
  <c r="S8" i="2"/>
  <c r="S7" i="2"/>
  <c r="S32" i="2"/>
  <c r="S47" i="2"/>
  <c r="S23" i="2"/>
  <c r="S43" i="2"/>
  <c r="S36" i="2"/>
  <c r="S15" i="2"/>
  <c r="S51" i="2"/>
  <c r="S40" i="2"/>
  <c r="S19" i="2"/>
  <c r="S55" i="2"/>
  <c r="S44" i="2"/>
  <c r="S11" i="2"/>
  <c r="L62" i="2"/>
  <c r="L58" i="2"/>
  <c r="L54" i="2"/>
  <c r="L50" i="2"/>
  <c r="L46" i="2"/>
  <c r="L42" i="2"/>
  <c r="L38" i="2"/>
  <c r="L34" i="2"/>
  <c r="L30" i="2"/>
  <c r="L26" i="2"/>
  <c r="L22" i="2"/>
  <c r="L18" i="2"/>
  <c r="L14" i="2"/>
  <c r="L61" i="2"/>
  <c r="L57" i="2"/>
  <c r="L53" i="2"/>
  <c r="L49" i="2"/>
  <c r="L45" i="2"/>
  <c r="L41" i="2"/>
  <c r="L37" i="2"/>
  <c r="L33" i="2"/>
  <c r="L29" i="2"/>
  <c r="L25" i="2"/>
  <c r="L21" i="2"/>
  <c r="L17" i="2"/>
  <c r="L13" i="2"/>
  <c r="L60" i="2"/>
  <c r="L56" i="2"/>
  <c r="L52" i="2"/>
  <c r="L48" i="2"/>
  <c r="L44" i="2"/>
  <c r="L40" i="2"/>
  <c r="L36" i="2"/>
  <c r="L32" i="2"/>
  <c r="L28" i="2"/>
  <c r="L24" i="2"/>
  <c r="L20" i="2"/>
  <c r="L16" i="2"/>
  <c r="L51" i="2"/>
  <c r="L19" i="2"/>
  <c r="L8" i="2"/>
  <c r="L7" i="2"/>
  <c r="L6" i="2"/>
  <c r="L55" i="2"/>
  <c r="L23" i="2"/>
  <c r="L9" i="2"/>
  <c r="L5" i="2"/>
  <c r="L59" i="2"/>
  <c r="L27" i="2"/>
  <c r="L10" i="2"/>
  <c r="L39" i="2"/>
  <c r="L63" i="2"/>
  <c r="L31" i="2"/>
  <c r="L11" i="2"/>
  <c r="C3" i="2"/>
  <c r="L4" i="2" s="1"/>
  <c r="L12" i="2"/>
  <c r="L15" i="2"/>
  <c r="L35" i="2"/>
  <c r="L43" i="2"/>
  <c r="L47" i="2"/>
  <c r="M61" i="2"/>
  <c r="M57" i="2"/>
  <c r="M53" i="2"/>
  <c r="M49" i="2"/>
  <c r="M45" i="2"/>
  <c r="M41" i="2"/>
  <c r="M37" i="2"/>
  <c r="M33" i="2"/>
  <c r="M29" i="2"/>
  <c r="M25" i="2"/>
  <c r="M21" i="2"/>
  <c r="M17" i="2"/>
  <c r="M13" i="2"/>
  <c r="M9" i="2"/>
  <c r="M5" i="2"/>
  <c r="M60" i="2"/>
  <c r="M56" i="2"/>
  <c r="M52" i="2"/>
  <c r="M48" i="2"/>
  <c r="M44" i="2"/>
  <c r="M40" i="2"/>
  <c r="M36" i="2"/>
  <c r="M32" i="2"/>
  <c r="M28" i="2"/>
  <c r="M24" i="2"/>
  <c r="M20" i="2"/>
  <c r="M16" i="2"/>
  <c r="M12" i="2"/>
  <c r="M8" i="2"/>
  <c r="D3" i="2"/>
  <c r="M4" i="2" s="1"/>
  <c r="M55" i="2"/>
  <c r="M34" i="2"/>
  <c r="M23" i="2"/>
  <c r="M43" i="2"/>
  <c r="M59" i="2"/>
  <c r="M38" i="2"/>
  <c r="M27" i="2"/>
  <c r="M10" i="2"/>
  <c r="M63" i="2"/>
  <c r="M42" i="2"/>
  <c r="M31" i="2"/>
  <c r="M11" i="2"/>
  <c r="M50" i="2"/>
  <c r="M39" i="2"/>
  <c r="M22" i="2"/>
  <c r="M46" i="2"/>
  <c r="M35" i="2"/>
  <c r="M14" i="2"/>
  <c r="M18" i="2"/>
  <c r="M30" i="2"/>
  <c r="M6" i="2"/>
  <c r="M54" i="2"/>
  <c r="M58" i="2"/>
  <c r="M47" i="2"/>
  <c r="M26" i="2"/>
  <c r="M15" i="2"/>
  <c r="M62" i="2"/>
  <c r="M51" i="2"/>
  <c r="M19" i="2"/>
  <c r="M7" i="2"/>
  <c r="R63" i="2"/>
  <c r="R59" i="2"/>
  <c r="R55" i="2"/>
  <c r="R51" i="2"/>
  <c r="R47" i="2"/>
  <c r="R43" i="2"/>
  <c r="R39" i="2"/>
  <c r="R35" i="2"/>
  <c r="R31" i="2"/>
  <c r="R27" i="2"/>
  <c r="R23" i="2"/>
  <c r="R19" i="2"/>
  <c r="R15" i="2"/>
  <c r="I3" i="2"/>
  <c r="R4" i="2" s="1"/>
  <c r="R62" i="2"/>
  <c r="R58" i="2"/>
  <c r="R54" i="2"/>
  <c r="R50" i="2"/>
  <c r="R46" i="2"/>
  <c r="R42" i="2"/>
  <c r="R38" i="2"/>
  <c r="R34" i="2"/>
  <c r="R30" i="2"/>
  <c r="R26" i="2"/>
  <c r="R22" i="2"/>
  <c r="R18" i="2"/>
  <c r="R14" i="2"/>
  <c r="R10" i="2"/>
  <c r="R61" i="2"/>
  <c r="R57" i="2"/>
  <c r="R53" i="2"/>
  <c r="R49" i="2"/>
  <c r="R45" i="2"/>
  <c r="R41" i="2"/>
  <c r="R37" i="2"/>
  <c r="R33" i="2"/>
  <c r="R29" i="2"/>
  <c r="R25" i="2"/>
  <c r="R21" i="2"/>
  <c r="R17" i="2"/>
  <c r="R13" i="2"/>
  <c r="R44" i="2"/>
  <c r="R11" i="2"/>
  <c r="R9" i="2"/>
  <c r="R48" i="2"/>
  <c r="R16" i="2"/>
  <c r="R12" i="2"/>
  <c r="R52" i="2"/>
  <c r="R20" i="2"/>
  <c r="R5" i="2"/>
  <c r="R60" i="2"/>
  <c r="R7" i="2"/>
  <c r="R56" i="2"/>
  <c r="R24" i="2"/>
  <c r="R6" i="2"/>
  <c r="R8" i="2"/>
  <c r="R32" i="2"/>
  <c r="R28" i="2"/>
  <c r="R36" i="2"/>
  <c r="R40" i="2"/>
  <c r="O60" i="2"/>
  <c r="O56" i="2"/>
  <c r="O52" i="2"/>
  <c r="O48" i="2"/>
  <c r="O44" i="2"/>
  <c r="O40" i="2"/>
  <c r="O36" i="2"/>
  <c r="O32" i="2"/>
  <c r="O28" i="2"/>
  <c r="O24" i="2"/>
  <c r="O20" i="2"/>
  <c r="O16" i="2"/>
  <c r="O12" i="2"/>
  <c r="O8" i="2"/>
  <c r="O63" i="2"/>
  <c r="O59" i="2"/>
  <c r="O55" i="2"/>
  <c r="O51" i="2"/>
  <c r="O47" i="2"/>
  <c r="O43" i="2"/>
  <c r="O39" i="2"/>
  <c r="O35" i="2"/>
  <c r="O31" i="2"/>
  <c r="O27" i="2"/>
  <c r="O23" i="2"/>
  <c r="O19" i="2"/>
  <c r="O15" i="2"/>
  <c r="O11" i="2"/>
  <c r="O7" i="2"/>
  <c r="O53" i="2"/>
  <c r="O42" i="2"/>
  <c r="O21" i="2"/>
  <c r="O62" i="2"/>
  <c r="O38" i="2"/>
  <c r="O17" i="2"/>
  <c r="O9" i="2"/>
  <c r="O57" i="2"/>
  <c r="O46" i="2"/>
  <c r="O25" i="2"/>
  <c r="O14" i="2"/>
  <c r="O61" i="2"/>
  <c r="O50" i="2"/>
  <c r="O29" i="2"/>
  <c r="O18" i="2"/>
  <c r="O37" i="2"/>
  <c r="O26" i="2"/>
  <c r="O30" i="2"/>
  <c r="O5" i="2"/>
  <c r="F3" i="2"/>
  <c r="O4" i="2" s="1"/>
  <c r="O54" i="2"/>
  <c r="O33" i="2"/>
  <c r="O22" i="2"/>
  <c r="O41" i="2"/>
  <c r="O6" i="2"/>
  <c r="O58" i="2"/>
  <c r="O10" i="2"/>
  <c r="O45" i="2"/>
  <c r="O34" i="2"/>
  <c r="O13" i="2"/>
  <c r="O49" i="2"/>
  <c r="N61" i="2"/>
  <c r="N57" i="2"/>
  <c r="N53" i="2"/>
  <c r="N49" i="2"/>
  <c r="N45" i="2"/>
  <c r="N41" i="2"/>
  <c r="N37" i="2"/>
  <c r="N33" i="2"/>
  <c r="N29" i="2"/>
  <c r="N25" i="2"/>
  <c r="N21" i="2"/>
  <c r="N17" i="2"/>
  <c r="E3" i="2"/>
  <c r="N4" i="2" s="1"/>
  <c r="N60" i="2"/>
  <c r="N56" i="2"/>
  <c r="N52" i="2"/>
  <c r="N48" i="2"/>
  <c r="N44" i="2"/>
  <c r="N40" i="2"/>
  <c r="N36" i="2"/>
  <c r="N32" i="2"/>
  <c r="N28" i="2"/>
  <c r="N24" i="2"/>
  <c r="N20" i="2"/>
  <c r="N16" i="2"/>
  <c r="N12" i="2"/>
  <c r="N63" i="2"/>
  <c r="N59" i="2"/>
  <c r="N55" i="2"/>
  <c r="N51" i="2"/>
  <c r="N47" i="2"/>
  <c r="N43" i="2"/>
  <c r="N39" i="2"/>
  <c r="N35" i="2"/>
  <c r="N31" i="2"/>
  <c r="N27" i="2"/>
  <c r="N23" i="2"/>
  <c r="N19" i="2"/>
  <c r="N15" i="2"/>
  <c r="N38" i="2"/>
  <c r="N10" i="2"/>
  <c r="N9" i="2"/>
  <c r="N26" i="2"/>
  <c r="N42" i="2"/>
  <c r="N11" i="2"/>
  <c r="N46" i="2"/>
  <c r="N14" i="2"/>
  <c r="N54" i="2"/>
  <c r="N58" i="2"/>
  <c r="N34" i="2"/>
  <c r="N13" i="2"/>
  <c r="N8" i="2"/>
  <c r="N50" i="2"/>
  <c r="N18" i="2"/>
  <c r="N22" i="2"/>
  <c r="N62" i="2"/>
  <c r="N30" i="2"/>
  <c r="N7" i="2"/>
  <c r="N6" i="2"/>
  <c r="N5" i="2"/>
  <c r="K62" i="2"/>
  <c r="K58" i="2"/>
  <c r="K54" i="2"/>
  <c r="K50" i="2"/>
  <c r="K46" i="2"/>
  <c r="K42" i="2"/>
  <c r="K38" i="2"/>
  <c r="K34" i="2"/>
  <c r="K30" i="2"/>
  <c r="K26" i="2"/>
  <c r="K22" i="2"/>
  <c r="K18" i="2"/>
  <c r="K14" i="2"/>
  <c r="K10" i="2"/>
  <c r="K6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5" i="2"/>
  <c r="K47" i="2"/>
  <c r="K36" i="2"/>
  <c r="K15" i="2"/>
  <c r="K35" i="2"/>
  <c r="K12" i="2"/>
  <c r="K51" i="2"/>
  <c r="K40" i="2"/>
  <c r="K19" i="2"/>
  <c r="K8" i="2"/>
  <c r="K7" i="2"/>
  <c r="K55" i="2"/>
  <c r="K44" i="2"/>
  <c r="K23" i="2"/>
  <c r="K52" i="2"/>
  <c r="K31" i="2"/>
  <c r="K20" i="2"/>
  <c r="K11" i="2"/>
  <c r="K56" i="2"/>
  <c r="K59" i="2"/>
  <c r="K48" i="2"/>
  <c r="K27" i="2"/>
  <c r="K16" i="2"/>
  <c r="K63" i="2"/>
  <c r="B3" i="2"/>
  <c r="K4" i="2" s="1"/>
  <c r="K43" i="2"/>
  <c r="K24" i="2"/>
  <c r="K60" i="2"/>
  <c r="K39" i="2"/>
  <c r="K28" i="2"/>
  <c r="K32" i="2"/>
  <c r="P60" i="2"/>
  <c r="P56" i="2"/>
  <c r="P52" i="2"/>
  <c r="P48" i="2"/>
  <c r="P44" i="2"/>
  <c r="P40" i="2"/>
  <c r="P36" i="2"/>
  <c r="P32" i="2"/>
  <c r="P28" i="2"/>
  <c r="P24" i="2"/>
  <c r="P20" i="2"/>
  <c r="P16" i="2"/>
  <c r="P63" i="2"/>
  <c r="P59" i="2"/>
  <c r="P55" i="2"/>
  <c r="P51" i="2"/>
  <c r="P47" i="2"/>
  <c r="P43" i="2"/>
  <c r="P39" i="2"/>
  <c r="P35" i="2"/>
  <c r="P31" i="2"/>
  <c r="P27" i="2"/>
  <c r="P23" i="2"/>
  <c r="P19" i="2"/>
  <c r="P15" i="2"/>
  <c r="P11" i="2"/>
  <c r="P62" i="2"/>
  <c r="P58" i="2"/>
  <c r="P54" i="2"/>
  <c r="P50" i="2"/>
  <c r="P46" i="2"/>
  <c r="P42" i="2"/>
  <c r="P38" i="2"/>
  <c r="P34" i="2"/>
  <c r="P30" i="2"/>
  <c r="P26" i="2"/>
  <c r="P22" i="2"/>
  <c r="P18" i="2"/>
  <c r="P14" i="2"/>
  <c r="P57" i="2"/>
  <c r="P25" i="2"/>
  <c r="P7" i="2"/>
  <c r="G3" i="2"/>
  <c r="P4" i="2" s="1"/>
  <c r="P61" i="2"/>
  <c r="P29" i="2"/>
  <c r="P33" i="2"/>
  <c r="P41" i="2"/>
  <c r="P5" i="2"/>
  <c r="P45" i="2"/>
  <c r="P13" i="2"/>
  <c r="P21" i="2"/>
  <c r="P37" i="2"/>
  <c r="P12" i="2"/>
  <c r="P6" i="2"/>
  <c r="P49" i="2"/>
  <c r="P17" i="2"/>
  <c r="P10" i="2"/>
  <c r="P9" i="2"/>
  <c r="P8" i="2"/>
  <c r="P53" i="2"/>
  <c r="E11" i="3" l="1"/>
  <c r="D11" i="3"/>
  <c r="F11" i="3"/>
  <c r="C11" i="3"/>
  <c r="J11" i="3"/>
  <c r="I11" i="3"/>
  <c r="H11" i="3"/>
  <c r="G11" i="3"/>
  <c r="F7" i="3"/>
  <c r="E7" i="3"/>
  <c r="D7" i="3"/>
  <c r="C7" i="3"/>
  <c r="D8" i="3"/>
  <c r="F8" i="3"/>
  <c r="E8" i="3"/>
  <c r="C8" i="3"/>
  <c r="G8" i="3"/>
  <c r="H9" i="3"/>
  <c r="C9" i="3"/>
  <c r="G9" i="3"/>
  <c r="F9" i="3"/>
  <c r="E9" i="3"/>
  <c r="D9" i="3"/>
  <c r="C4" i="3"/>
  <c r="E6" i="3"/>
  <c r="D6" i="3"/>
  <c r="C6" i="3"/>
  <c r="C5" i="3"/>
  <c r="D5" i="3"/>
  <c r="C10" i="3"/>
  <c r="I10" i="3"/>
  <c r="F10" i="3"/>
  <c r="H10" i="3"/>
  <c r="D10" i="3"/>
  <c r="G10" i="3"/>
  <c r="E10" i="3"/>
  <c r="R65" i="2"/>
  <c r="R66" i="2" s="1"/>
  <c r="M11" i="3" s="1"/>
  <c r="N65" i="2"/>
  <c r="N66" i="2" s="1"/>
  <c r="M7" i="3" s="1"/>
  <c r="O65" i="2"/>
  <c r="O66" i="2" s="1"/>
  <c r="M8" i="3" s="1"/>
  <c r="S65" i="2"/>
  <c r="S66" i="2" s="1"/>
  <c r="P65" i="2"/>
  <c r="P66" i="2" s="1"/>
  <c r="M9" i="3" s="1"/>
  <c r="M65" i="2"/>
  <c r="M66" i="2" s="1"/>
  <c r="M6" i="3" s="1"/>
  <c r="L65" i="2"/>
  <c r="L66" i="2" s="1"/>
  <c r="M5" i="3" s="1"/>
  <c r="Q65" i="2"/>
  <c r="Q66" i="2" s="1"/>
  <c r="M10" i="3" s="1"/>
  <c r="K65" i="2"/>
  <c r="K66" i="2" s="1"/>
  <c r="M4" i="3" s="1"/>
  <c r="P67" i="2"/>
  <c r="R67" i="2"/>
  <c r="O67" i="2"/>
  <c r="M67" i="2"/>
  <c r="S67" i="2"/>
  <c r="N67" i="2"/>
  <c r="K67" i="2"/>
  <c r="Q67" i="2"/>
  <c r="L67" i="2"/>
  <c r="F9" i="4" l="1"/>
  <c r="F21" i="4" s="1"/>
  <c r="I9" i="4"/>
  <c r="I21" i="4" s="1"/>
  <c r="H10" i="4"/>
  <c r="H22" i="4" s="1"/>
  <c r="D5" i="4"/>
  <c r="D17" i="4" s="1"/>
  <c r="C8" i="4"/>
  <c r="C20" i="4" s="1"/>
  <c r="E9" i="4"/>
  <c r="E21" i="4" s="1"/>
  <c r="E5" i="4"/>
  <c r="E17" i="4" s="1"/>
  <c r="H8" i="4"/>
  <c r="H20" i="4" s="1"/>
  <c r="D7" i="4"/>
  <c r="D19" i="4" s="1"/>
  <c r="C6" i="4"/>
  <c r="C18" i="4" s="1"/>
  <c r="C9" i="4"/>
  <c r="C21" i="4" s="1"/>
  <c r="D6" i="4"/>
  <c r="D18" i="4" s="1"/>
  <c r="J10" i="4"/>
  <c r="J22" i="4" s="1"/>
  <c r="J10" i="3" a="1"/>
  <c r="J10" i="3" s="1"/>
  <c r="J9" i="4" s="1"/>
  <c r="J21" i="4" s="1"/>
  <c r="I10" i="4"/>
  <c r="I22" i="4" s="1"/>
  <c r="D4" i="4"/>
  <c r="D16" i="4" s="1"/>
  <c r="E6" i="4"/>
  <c r="E18" i="4" s="1"/>
  <c r="C10" i="4"/>
  <c r="C22" i="4" s="1"/>
  <c r="C4" i="4"/>
  <c r="C16" i="4" s="1"/>
  <c r="D8" i="4"/>
  <c r="D20" i="4" s="1"/>
  <c r="G7" i="4"/>
  <c r="G19" i="4" s="1"/>
  <c r="F6" i="4"/>
  <c r="F18" i="4" s="1"/>
  <c r="F10" i="4"/>
  <c r="F22" i="4" s="1"/>
  <c r="G9" i="4"/>
  <c r="G21" i="4" s="1"/>
  <c r="E8" i="4"/>
  <c r="E20" i="4" s="1"/>
  <c r="C7" i="4"/>
  <c r="C19" i="4" s="1"/>
  <c r="D10" i="4"/>
  <c r="D22" i="4" s="1"/>
  <c r="D9" i="4"/>
  <c r="D21" i="4" s="1"/>
  <c r="F8" i="4"/>
  <c r="F20" i="4" s="1"/>
  <c r="E7" i="4"/>
  <c r="E19" i="4" s="1"/>
  <c r="E10" i="4"/>
  <c r="E22" i="4" s="1"/>
  <c r="H9" i="4"/>
  <c r="H21" i="4" s="1"/>
  <c r="C5" i="4"/>
  <c r="C17" i="4" s="1"/>
  <c r="G8" i="4"/>
  <c r="G20" i="4" s="1"/>
  <c r="F7" i="4"/>
  <c r="F19" i="4" s="1"/>
  <c r="G10" i="4"/>
  <c r="G22" i="4" s="1"/>
  <c r="C3" i="4"/>
  <c r="C15" i="4" s="1"/>
  <c r="I9" i="3" a="1"/>
  <c r="F6" i="3" a="1"/>
  <c r="E5" i="3" a="1"/>
  <c r="H8" i="3" a="1"/>
  <c r="D4" i="3" a="1"/>
  <c r="G7" i="3" a="1"/>
  <c r="Q68" i="2"/>
  <c r="Q69" i="2" s="1"/>
  <c r="N10" i="3" s="1"/>
  <c r="N68" i="2"/>
  <c r="N69" i="2" s="1"/>
  <c r="N7" i="3" s="1"/>
  <c r="R68" i="2"/>
  <c r="R69" i="2" s="1"/>
  <c r="N11" i="3" s="1"/>
  <c r="L68" i="2"/>
  <c r="L69" i="2" s="1"/>
  <c r="N5" i="3" s="1"/>
  <c r="S68" i="2"/>
  <c r="S69" i="2" s="1"/>
  <c r="M68" i="2"/>
  <c r="M69" i="2" s="1"/>
  <c r="N6" i="3" s="1"/>
  <c r="K68" i="2"/>
  <c r="K69" i="2" s="1"/>
  <c r="N4" i="3" s="1"/>
  <c r="O68" i="2"/>
  <c r="O69" i="2" s="1"/>
  <c r="N8" i="3" s="1"/>
  <c r="P68" i="2"/>
  <c r="P69" i="2" s="1"/>
  <c r="N9" i="3" s="1"/>
  <c r="B27" i="4" l="1"/>
  <c r="H8" i="3"/>
  <c r="H7" i="4" s="1"/>
  <c r="H19" i="4" s="1"/>
  <c r="I7" i="4"/>
  <c r="I19" i="4" s="1"/>
  <c r="J7" i="4"/>
  <c r="J19" i="4" s="1"/>
  <c r="E5" i="3"/>
  <c r="E4" i="4" s="1"/>
  <c r="E16" i="4" s="1"/>
  <c r="H4" i="4"/>
  <c r="H16" i="4" s="1"/>
  <c r="G4" i="4"/>
  <c r="G16" i="4" s="1"/>
  <c r="F4" i="4"/>
  <c r="F16" i="4" s="1"/>
  <c r="I4" i="4"/>
  <c r="I16" i="4" s="1"/>
  <c r="J4" i="4"/>
  <c r="J16" i="4" s="1"/>
  <c r="I9" i="3"/>
  <c r="I8" i="4" s="1"/>
  <c r="I20" i="4" s="1"/>
  <c r="J8" i="4"/>
  <c r="J20" i="4" s="1"/>
  <c r="G7" i="3"/>
  <c r="G6" i="4" s="1"/>
  <c r="G18" i="4" s="1"/>
  <c r="H6" i="4"/>
  <c r="H18" i="4" s="1"/>
  <c r="I6" i="4"/>
  <c r="I18" i="4" s="1"/>
  <c r="J6" i="4"/>
  <c r="J18" i="4" s="1"/>
  <c r="F6" i="3"/>
  <c r="F5" i="4" s="1"/>
  <c r="F17" i="4" s="1"/>
  <c r="G5" i="4"/>
  <c r="G17" i="4" s="1"/>
  <c r="H5" i="4"/>
  <c r="H17" i="4" s="1"/>
  <c r="I5" i="4"/>
  <c r="I17" i="4" s="1"/>
  <c r="J5" i="4"/>
  <c r="J17" i="4" s="1"/>
  <c r="I3" i="4"/>
  <c r="I15" i="4" s="1"/>
  <c r="J3" i="4"/>
  <c r="J15" i="4" s="1"/>
  <c r="G3" i="4"/>
  <c r="G15" i="4" s="1"/>
  <c r="H3" i="4"/>
  <c r="H15" i="4" s="1"/>
  <c r="E3" i="4"/>
  <c r="E15" i="4" s="1"/>
  <c r="F3" i="4"/>
  <c r="F15" i="4" s="1"/>
  <c r="D4" i="3"/>
  <c r="D3" i="4" s="1"/>
  <c r="D15" i="4" l="1"/>
  <c r="B25" i="4" s="1"/>
  <c r="B26" i="4" s="1"/>
  <c r="B29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54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  <bk>
      <extLst>
        <ext uri="{3e2802c4-a4d2-4d8b-9148-e3be6c30e623}">
          <xlrd:rvb i="517"/>
        </ext>
      </extLst>
    </bk>
    <bk>
      <extLst>
        <ext uri="{3e2802c4-a4d2-4d8b-9148-e3be6c30e623}">
          <xlrd:rvb i="518"/>
        </ext>
      </extLst>
    </bk>
    <bk>
      <extLst>
        <ext uri="{3e2802c4-a4d2-4d8b-9148-e3be6c30e623}">
          <xlrd:rvb i="519"/>
        </ext>
      </extLst>
    </bk>
    <bk>
      <extLst>
        <ext uri="{3e2802c4-a4d2-4d8b-9148-e3be6c30e623}">
          <xlrd:rvb i="520"/>
        </ext>
      </extLst>
    </bk>
    <bk>
      <extLst>
        <ext uri="{3e2802c4-a4d2-4d8b-9148-e3be6c30e623}">
          <xlrd:rvb i="521"/>
        </ext>
      </extLst>
    </bk>
    <bk>
      <extLst>
        <ext uri="{3e2802c4-a4d2-4d8b-9148-e3be6c30e623}">
          <xlrd:rvb i="522"/>
        </ext>
      </extLst>
    </bk>
    <bk>
      <extLst>
        <ext uri="{3e2802c4-a4d2-4d8b-9148-e3be6c30e623}">
          <xlrd:rvb i="523"/>
        </ext>
      </extLst>
    </bk>
    <bk>
      <extLst>
        <ext uri="{3e2802c4-a4d2-4d8b-9148-e3be6c30e623}">
          <xlrd:rvb i="524"/>
        </ext>
      </extLst>
    </bk>
    <bk>
      <extLst>
        <ext uri="{3e2802c4-a4d2-4d8b-9148-e3be6c30e623}">
          <xlrd:rvb i="525"/>
        </ext>
      </extLst>
    </bk>
    <bk>
      <extLst>
        <ext uri="{3e2802c4-a4d2-4d8b-9148-e3be6c30e623}">
          <xlrd:rvb i="526"/>
        </ext>
      </extLst>
    </bk>
    <bk>
      <extLst>
        <ext uri="{3e2802c4-a4d2-4d8b-9148-e3be6c30e623}">
          <xlrd:rvb i="527"/>
        </ext>
      </extLst>
    </bk>
    <bk>
      <extLst>
        <ext uri="{3e2802c4-a4d2-4d8b-9148-e3be6c30e623}">
          <xlrd:rvb i="528"/>
        </ext>
      </extLst>
    </bk>
    <bk>
      <extLst>
        <ext uri="{3e2802c4-a4d2-4d8b-9148-e3be6c30e623}">
          <xlrd:rvb i="529"/>
        </ext>
      </extLst>
    </bk>
    <bk>
      <extLst>
        <ext uri="{3e2802c4-a4d2-4d8b-9148-e3be6c30e623}">
          <xlrd:rvb i="530"/>
        </ext>
      </extLst>
    </bk>
    <bk>
      <extLst>
        <ext uri="{3e2802c4-a4d2-4d8b-9148-e3be6c30e623}">
          <xlrd:rvb i="531"/>
        </ext>
      </extLst>
    </bk>
    <bk>
      <extLst>
        <ext uri="{3e2802c4-a4d2-4d8b-9148-e3be6c30e623}">
          <xlrd:rvb i="532"/>
        </ext>
      </extLst>
    </bk>
    <bk>
      <extLst>
        <ext uri="{3e2802c4-a4d2-4d8b-9148-e3be6c30e623}">
          <xlrd:rvb i="533"/>
        </ext>
      </extLst>
    </bk>
    <bk>
      <extLst>
        <ext uri="{3e2802c4-a4d2-4d8b-9148-e3be6c30e623}">
          <xlrd:rvb i="534"/>
        </ext>
      </extLst>
    </bk>
    <bk>
      <extLst>
        <ext uri="{3e2802c4-a4d2-4d8b-9148-e3be6c30e623}">
          <xlrd:rvb i="535"/>
        </ext>
      </extLst>
    </bk>
    <bk>
      <extLst>
        <ext uri="{3e2802c4-a4d2-4d8b-9148-e3be6c30e623}">
          <xlrd:rvb i="536"/>
        </ext>
      </extLst>
    </bk>
    <bk>
      <extLst>
        <ext uri="{3e2802c4-a4d2-4d8b-9148-e3be6c30e623}">
          <xlrd:rvb i="537"/>
        </ext>
      </extLst>
    </bk>
    <bk>
      <extLst>
        <ext uri="{3e2802c4-a4d2-4d8b-9148-e3be6c30e623}">
          <xlrd:rvb i="538"/>
        </ext>
      </extLst>
    </bk>
    <bk>
      <extLst>
        <ext uri="{3e2802c4-a4d2-4d8b-9148-e3be6c30e623}">
          <xlrd:rvb i="539"/>
        </ext>
      </extLst>
    </bk>
    <bk>
      <extLst>
        <ext uri="{3e2802c4-a4d2-4d8b-9148-e3be6c30e623}">
          <xlrd:rvb i="540"/>
        </ext>
      </extLst>
    </bk>
    <bk>
      <extLst>
        <ext uri="{3e2802c4-a4d2-4d8b-9148-e3be6c30e623}">
          <xlrd:rvb i="541"/>
        </ext>
      </extLst>
    </bk>
    <bk>
      <extLst>
        <ext uri="{3e2802c4-a4d2-4d8b-9148-e3be6c30e623}">
          <xlrd:rvb i="542"/>
        </ext>
      </extLst>
    </bk>
    <bk>
      <extLst>
        <ext uri="{3e2802c4-a4d2-4d8b-9148-e3be6c30e623}">
          <xlrd:rvb i="543"/>
        </ext>
      </extLst>
    </bk>
    <bk>
      <extLst>
        <ext uri="{3e2802c4-a4d2-4d8b-9148-e3be6c30e623}">
          <xlrd:rvb i="544"/>
        </ext>
      </extLst>
    </bk>
  </futureMetadata>
  <cellMetadata count="1">
    <bk>
      <rc t="1" v="0"/>
    </bk>
  </cellMetadata>
  <valueMetadata count="545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  <bk>
      <rc t="2" v="45"/>
    </bk>
    <bk>
      <rc t="2" v="46"/>
    </bk>
    <bk>
      <rc t="2" v="47"/>
    </bk>
    <bk>
      <rc t="2" v="48"/>
    </bk>
    <bk>
      <rc t="2" v="49"/>
    </bk>
    <bk>
      <rc t="2" v="50"/>
    </bk>
    <bk>
      <rc t="2" v="51"/>
    </bk>
    <bk>
      <rc t="2" v="52"/>
    </bk>
    <bk>
      <rc t="2" v="53"/>
    </bk>
    <bk>
      <rc t="2" v="54"/>
    </bk>
    <bk>
      <rc t="2" v="55"/>
    </bk>
    <bk>
      <rc t="2" v="56"/>
    </bk>
    <bk>
      <rc t="2" v="57"/>
    </bk>
    <bk>
      <rc t="2" v="58"/>
    </bk>
    <bk>
      <rc t="2" v="59"/>
    </bk>
    <bk>
      <rc t="2" v="60"/>
    </bk>
    <bk>
      <rc t="2" v="61"/>
    </bk>
    <bk>
      <rc t="2" v="62"/>
    </bk>
    <bk>
      <rc t="2" v="63"/>
    </bk>
    <bk>
      <rc t="2" v="64"/>
    </bk>
    <bk>
      <rc t="2" v="65"/>
    </bk>
    <bk>
      <rc t="2" v="66"/>
    </bk>
    <bk>
      <rc t="2" v="67"/>
    </bk>
    <bk>
      <rc t="2" v="68"/>
    </bk>
    <bk>
      <rc t="2" v="69"/>
    </bk>
    <bk>
      <rc t="2" v="70"/>
    </bk>
    <bk>
      <rc t="2" v="71"/>
    </bk>
    <bk>
      <rc t="2" v="72"/>
    </bk>
    <bk>
      <rc t="2" v="73"/>
    </bk>
    <bk>
      <rc t="2" v="74"/>
    </bk>
    <bk>
      <rc t="2" v="75"/>
    </bk>
    <bk>
      <rc t="2" v="76"/>
    </bk>
    <bk>
      <rc t="2" v="77"/>
    </bk>
    <bk>
      <rc t="2" v="78"/>
    </bk>
    <bk>
      <rc t="2" v="79"/>
    </bk>
    <bk>
      <rc t="2" v="80"/>
    </bk>
    <bk>
      <rc t="2" v="81"/>
    </bk>
    <bk>
      <rc t="2" v="82"/>
    </bk>
    <bk>
      <rc t="2" v="83"/>
    </bk>
    <bk>
      <rc t="2" v="84"/>
    </bk>
    <bk>
      <rc t="2" v="85"/>
    </bk>
    <bk>
      <rc t="2" v="86"/>
    </bk>
    <bk>
      <rc t="2" v="87"/>
    </bk>
    <bk>
      <rc t="2" v="88"/>
    </bk>
    <bk>
      <rc t="2" v="89"/>
    </bk>
    <bk>
      <rc t="2" v="90"/>
    </bk>
    <bk>
      <rc t="2" v="91"/>
    </bk>
    <bk>
      <rc t="2" v="92"/>
    </bk>
    <bk>
      <rc t="2" v="93"/>
    </bk>
    <bk>
      <rc t="2" v="94"/>
    </bk>
    <bk>
      <rc t="2" v="95"/>
    </bk>
    <bk>
      <rc t="2" v="96"/>
    </bk>
    <bk>
      <rc t="2" v="97"/>
    </bk>
    <bk>
      <rc t="2" v="98"/>
    </bk>
    <bk>
      <rc t="2" v="99"/>
    </bk>
    <bk>
      <rc t="2" v="100"/>
    </bk>
    <bk>
      <rc t="2" v="101"/>
    </bk>
    <bk>
      <rc t="2" v="102"/>
    </bk>
    <bk>
      <rc t="2" v="103"/>
    </bk>
    <bk>
      <rc t="2" v="104"/>
    </bk>
    <bk>
      <rc t="2" v="105"/>
    </bk>
    <bk>
      <rc t="2" v="106"/>
    </bk>
    <bk>
      <rc t="2" v="107"/>
    </bk>
    <bk>
      <rc t="2" v="108"/>
    </bk>
    <bk>
      <rc t="2" v="109"/>
    </bk>
    <bk>
      <rc t="2" v="110"/>
    </bk>
    <bk>
      <rc t="2" v="111"/>
    </bk>
    <bk>
      <rc t="2" v="112"/>
    </bk>
    <bk>
      <rc t="2" v="113"/>
    </bk>
    <bk>
      <rc t="2" v="114"/>
    </bk>
    <bk>
      <rc t="2" v="115"/>
    </bk>
    <bk>
      <rc t="2" v="116"/>
    </bk>
    <bk>
      <rc t="2" v="117"/>
    </bk>
    <bk>
      <rc t="2" v="118"/>
    </bk>
    <bk>
      <rc t="2" v="119"/>
    </bk>
    <bk>
      <rc t="2" v="120"/>
    </bk>
    <bk>
      <rc t="2" v="121"/>
    </bk>
    <bk>
      <rc t="2" v="122"/>
    </bk>
    <bk>
      <rc t="2" v="123"/>
    </bk>
    <bk>
      <rc t="2" v="124"/>
    </bk>
    <bk>
      <rc t="2" v="125"/>
    </bk>
    <bk>
      <rc t="2" v="126"/>
    </bk>
    <bk>
      <rc t="2" v="127"/>
    </bk>
    <bk>
      <rc t="2" v="128"/>
    </bk>
    <bk>
      <rc t="2" v="129"/>
    </bk>
    <bk>
      <rc t="2" v="130"/>
    </bk>
    <bk>
      <rc t="2" v="131"/>
    </bk>
    <bk>
      <rc t="2" v="132"/>
    </bk>
    <bk>
      <rc t="2" v="133"/>
    </bk>
    <bk>
      <rc t="2" v="134"/>
    </bk>
    <bk>
      <rc t="2" v="135"/>
    </bk>
    <bk>
      <rc t="2" v="136"/>
    </bk>
    <bk>
      <rc t="2" v="137"/>
    </bk>
    <bk>
      <rc t="2" v="138"/>
    </bk>
    <bk>
      <rc t="2" v="139"/>
    </bk>
    <bk>
      <rc t="2" v="140"/>
    </bk>
    <bk>
      <rc t="2" v="141"/>
    </bk>
    <bk>
      <rc t="2" v="142"/>
    </bk>
    <bk>
      <rc t="2" v="143"/>
    </bk>
    <bk>
      <rc t="2" v="144"/>
    </bk>
    <bk>
      <rc t="2" v="145"/>
    </bk>
    <bk>
      <rc t="2" v="146"/>
    </bk>
    <bk>
      <rc t="2" v="147"/>
    </bk>
    <bk>
      <rc t="2" v="148"/>
    </bk>
    <bk>
      <rc t="2" v="149"/>
    </bk>
    <bk>
      <rc t="2" v="150"/>
    </bk>
    <bk>
      <rc t="2" v="151"/>
    </bk>
    <bk>
      <rc t="2" v="152"/>
    </bk>
    <bk>
      <rc t="2" v="153"/>
    </bk>
    <bk>
      <rc t="2" v="154"/>
    </bk>
    <bk>
      <rc t="2" v="155"/>
    </bk>
    <bk>
      <rc t="2" v="156"/>
    </bk>
    <bk>
      <rc t="2" v="157"/>
    </bk>
    <bk>
      <rc t="2" v="158"/>
    </bk>
    <bk>
      <rc t="2" v="159"/>
    </bk>
    <bk>
      <rc t="2" v="160"/>
    </bk>
    <bk>
      <rc t="2" v="161"/>
    </bk>
    <bk>
      <rc t="2" v="162"/>
    </bk>
    <bk>
      <rc t="2" v="163"/>
    </bk>
    <bk>
      <rc t="2" v="164"/>
    </bk>
    <bk>
      <rc t="2" v="165"/>
    </bk>
    <bk>
      <rc t="2" v="166"/>
    </bk>
    <bk>
      <rc t="2" v="167"/>
    </bk>
    <bk>
      <rc t="2" v="168"/>
    </bk>
    <bk>
      <rc t="2" v="169"/>
    </bk>
    <bk>
      <rc t="2" v="170"/>
    </bk>
    <bk>
      <rc t="2" v="171"/>
    </bk>
    <bk>
      <rc t="2" v="172"/>
    </bk>
    <bk>
      <rc t="2" v="173"/>
    </bk>
    <bk>
      <rc t="2" v="174"/>
    </bk>
    <bk>
      <rc t="2" v="175"/>
    </bk>
    <bk>
      <rc t="2" v="176"/>
    </bk>
    <bk>
      <rc t="2" v="177"/>
    </bk>
    <bk>
      <rc t="2" v="178"/>
    </bk>
    <bk>
      <rc t="2" v="179"/>
    </bk>
    <bk>
      <rc t="2" v="180"/>
    </bk>
    <bk>
      <rc t="2" v="181"/>
    </bk>
    <bk>
      <rc t="2" v="182"/>
    </bk>
    <bk>
      <rc t="2" v="183"/>
    </bk>
    <bk>
      <rc t="2" v="184"/>
    </bk>
    <bk>
      <rc t="2" v="185"/>
    </bk>
    <bk>
      <rc t="2" v="186"/>
    </bk>
    <bk>
      <rc t="2" v="187"/>
    </bk>
    <bk>
      <rc t="2" v="188"/>
    </bk>
    <bk>
      <rc t="2" v="189"/>
    </bk>
    <bk>
      <rc t="2" v="190"/>
    </bk>
    <bk>
      <rc t="2" v="191"/>
    </bk>
    <bk>
      <rc t="2" v="192"/>
    </bk>
    <bk>
      <rc t="2" v="193"/>
    </bk>
    <bk>
      <rc t="2" v="194"/>
    </bk>
    <bk>
      <rc t="2" v="195"/>
    </bk>
    <bk>
      <rc t="2" v="196"/>
    </bk>
    <bk>
      <rc t="2" v="197"/>
    </bk>
    <bk>
      <rc t="2" v="198"/>
    </bk>
    <bk>
      <rc t="2" v="199"/>
    </bk>
    <bk>
      <rc t="2" v="200"/>
    </bk>
    <bk>
      <rc t="2" v="201"/>
    </bk>
    <bk>
      <rc t="2" v="202"/>
    </bk>
    <bk>
      <rc t="2" v="203"/>
    </bk>
    <bk>
      <rc t="2" v="204"/>
    </bk>
    <bk>
      <rc t="2" v="205"/>
    </bk>
    <bk>
      <rc t="2" v="206"/>
    </bk>
    <bk>
      <rc t="2" v="207"/>
    </bk>
    <bk>
      <rc t="2" v="208"/>
    </bk>
    <bk>
      <rc t="2" v="209"/>
    </bk>
    <bk>
      <rc t="2" v="210"/>
    </bk>
    <bk>
      <rc t="2" v="211"/>
    </bk>
    <bk>
      <rc t="2" v="212"/>
    </bk>
    <bk>
      <rc t="2" v="213"/>
    </bk>
    <bk>
      <rc t="2" v="214"/>
    </bk>
    <bk>
      <rc t="2" v="215"/>
    </bk>
    <bk>
      <rc t="2" v="216"/>
    </bk>
    <bk>
      <rc t="2" v="217"/>
    </bk>
    <bk>
      <rc t="2" v="218"/>
    </bk>
    <bk>
      <rc t="2" v="219"/>
    </bk>
    <bk>
      <rc t="2" v="220"/>
    </bk>
    <bk>
      <rc t="2" v="221"/>
    </bk>
    <bk>
      <rc t="2" v="222"/>
    </bk>
    <bk>
      <rc t="2" v="223"/>
    </bk>
    <bk>
      <rc t="2" v="224"/>
    </bk>
    <bk>
      <rc t="2" v="225"/>
    </bk>
    <bk>
      <rc t="2" v="226"/>
    </bk>
    <bk>
      <rc t="2" v="227"/>
    </bk>
    <bk>
      <rc t="2" v="228"/>
    </bk>
    <bk>
      <rc t="2" v="229"/>
    </bk>
    <bk>
      <rc t="2" v="230"/>
    </bk>
    <bk>
      <rc t="2" v="231"/>
    </bk>
    <bk>
      <rc t="2" v="232"/>
    </bk>
    <bk>
      <rc t="2" v="233"/>
    </bk>
    <bk>
      <rc t="2" v="234"/>
    </bk>
    <bk>
      <rc t="2" v="235"/>
    </bk>
    <bk>
      <rc t="2" v="236"/>
    </bk>
    <bk>
      <rc t="2" v="237"/>
    </bk>
    <bk>
      <rc t="2" v="238"/>
    </bk>
    <bk>
      <rc t="2" v="239"/>
    </bk>
    <bk>
      <rc t="2" v="240"/>
    </bk>
    <bk>
      <rc t="2" v="241"/>
    </bk>
    <bk>
      <rc t="2" v="242"/>
    </bk>
    <bk>
      <rc t="2" v="243"/>
    </bk>
    <bk>
      <rc t="2" v="244"/>
    </bk>
    <bk>
      <rc t="2" v="245"/>
    </bk>
    <bk>
      <rc t="2" v="246"/>
    </bk>
    <bk>
      <rc t="2" v="247"/>
    </bk>
    <bk>
      <rc t="2" v="248"/>
    </bk>
    <bk>
      <rc t="2" v="249"/>
    </bk>
    <bk>
      <rc t="2" v="250"/>
    </bk>
    <bk>
      <rc t="2" v="251"/>
    </bk>
    <bk>
      <rc t="2" v="252"/>
    </bk>
    <bk>
      <rc t="2" v="253"/>
    </bk>
    <bk>
      <rc t="2" v="254"/>
    </bk>
    <bk>
      <rc t="2" v="255"/>
    </bk>
    <bk>
      <rc t="2" v="256"/>
    </bk>
    <bk>
      <rc t="2" v="257"/>
    </bk>
    <bk>
      <rc t="2" v="258"/>
    </bk>
    <bk>
      <rc t="2" v="259"/>
    </bk>
    <bk>
      <rc t="2" v="260"/>
    </bk>
    <bk>
      <rc t="2" v="261"/>
    </bk>
    <bk>
      <rc t="2" v="262"/>
    </bk>
    <bk>
      <rc t="2" v="263"/>
    </bk>
    <bk>
      <rc t="2" v="264"/>
    </bk>
    <bk>
      <rc t="2" v="265"/>
    </bk>
    <bk>
      <rc t="2" v="266"/>
    </bk>
    <bk>
      <rc t="2" v="267"/>
    </bk>
    <bk>
      <rc t="2" v="268"/>
    </bk>
    <bk>
      <rc t="2" v="269"/>
    </bk>
    <bk>
      <rc t="2" v="270"/>
    </bk>
    <bk>
      <rc t="2" v="271"/>
    </bk>
    <bk>
      <rc t="2" v="272"/>
    </bk>
    <bk>
      <rc t="2" v="273"/>
    </bk>
    <bk>
      <rc t="2" v="274"/>
    </bk>
    <bk>
      <rc t="2" v="275"/>
    </bk>
    <bk>
      <rc t="2" v="276"/>
    </bk>
    <bk>
      <rc t="2" v="277"/>
    </bk>
    <bk>
      <rc t="2" v="278"/>
    </bk>
    <bk>
      <rc t="2" v="279"/>
    </bk>
    <bk>
      <rc t="2" v="280"/>
    </bk>
    <bk>
      <rc t="2" v="281"/>
    </bk>
    <bk>
      <rc t="2" v="282"/>
    </bk>
    <bk>
      <rc t="2" v="283"/>
    </bk>
    <bk>
      <rc t="2" v="284"/>
    </bk>
    <bk>
      <rc t="2" v="285"/>
    </bk>
    <bk>
      <rc t="2" v="286"/>
    </bk>
    <bk>
      <rc t="2" v="287"/>
    </bk>
    <bk>
      <rc t="2" v="288"/>
    </bk>
    <bk>
      <rc t="2" v="289"/>
    </bk>
    <bk>
      <rc t="2" v="290"/>
    </bk>
    <bk>
      <rc t="2" v="291"/>
    </bk>
    <bk>
      <rc t="2" v="292"/>
    </bk>
    <bk>
      <rc t="2" v="293"/>
    </bk>
    <bk>
      <rc t="2" v="294"/>
    </bk>
    <bk>
      <rc t="2" v="295"/>
    </bk>
    <bk>
      <rc t="2" v="296"/>
    </bk>
    <bk>
      <rc t="2" v="297"/>
    </bk>
    <bk>
      <rc t="2" v="298"/>
    </bk>
    <bk>
      <rc t="2" v="299"/>
    </bk>
    <bk>
      <rc t="2" v="300"/>
    </bk>
    <bk>
      <rc t="2" v="301"/>
    </bk>
    <bk>
      <rc t="2" v="302"/>
    </bk>
    <bk>
      <rc t="2" v="303"/>
    </bk>
    <bk>
      <rc t="2" v="304"/>
    </bk>
    <bk>
      <rc t="2" v="305"/>
    </bk>
    <bk>
      <rc t="2" v="306"/>
    </bk>
    <bk>
      <rc t="2" v="307"/>
    </bk>
    <bk>
      <rc t="2" v="308"/>
    </bk>
    <bk>
      <rc t="2" v="309"/>
    </bk>
    <bk>
      <rc t="2" v="310"/>
    </bk>
    <bk>
      <rc t="2" v="311"/>
    </bk>
    <bk>
      <rc t="2" v="312"/>
    </bk>
    <bk>
      <rc t="2" v="313"/>
    </bk>
    <bk>
      <rc t="2" v="314"/>
    </bk>
    <bk>
      <rc t="2" v="315"/>
    </bk>
    <bk>
      <rc t="2" v="316"/>
    </bk>
    <bk>
      <rc t="2" v="317"/>
    </bk>
    <bk>
      <rc t="2" v="318"/>
    </bk>
    <bk>
      <rc t="2" v="319"/>
    </bk>
    <bk>
      <rc t="2" v="320"/>
    </bk>
    <bk>
      <rc t="2" v="321"/>
    </bk>
    <bk>
      <rc t="2" v="322"/>
    </bk>
    <bk>
      <rc t="2" v="323"/>
    </bk>
    <bk>
      <rc t="2" v="324"/>
    </bk>
    <bk>
      <rc t="2" v="325"/>
    </bk>
    <bk>
      <rc t="2" v="326"/>
    </bk>
    <bk>
      <rc t="2" v="327"/>
    </bk>
    <bk>
      <rc t="2" v="328"/>
    </bk>
    <bk>
      <rc t="2" v="329"/>
    </bk>
    <bk>
      <rc t="2" v="330"/>
    </bk>
    <bk>
      <rc t="2" v="331"/>
    </bk>
    <bk>
      <rc t="2" v="332"/>
    </bk>
    <bk>
      <rc t="2" v="333"/>
    </bk>
    <bk>
      <rc t="2" v="334"/>
    </bk>
    <bk>
      <rc t="2" v="335"/>
    </bk>
    <bk>
      <rc t="2" v="336"/>
    </bk>
    <bk>
      <rc t="2" v="337"/>
    </bk>
    <bk>
      <rc t="2" v="338"/>
    </bk>
    <bk>
      <rc t="2" v="339"/>
    </bk>
    <bk>
      <rc t="2" v="340"/>
    </bk>
    <bk>
      <rc t="2" v="341"/>
    </bk>
    <bk>
      <rc t="2" v="342"/>
    </bk>
    <bk>
      <rc t="2" v="343"/>
    </bk>
    <bk>
      <rc t="2" v="344"/>
    </bk>
    <bk>
      <rc t="2" v="345"/>
    </bk>
    <bk>
      <rc t="2" v="346"/>
    </bk>
    <bk>
      <rc t="2" v="347"/>
    </bk>
    <bk>
      <rc t="2" v="348"/>
    </bk>
    <bk>
      <rc t="2" v="349"/>
    </bk>
    <bk>
      <rc t="2" v="350"/>
    </bk>
    <bk>
      <rc t="2" v="351"/>
    </bk>
    <bk>
      <rc t="2" v="352"/>
    </bk>
    <bk>
      <rc t="2" v="353"/>
    </bk>
    <bk>
      <rc t="2" v="354"/>
    </bk>
    <bk>
      <rc t="2" v="355"/>
    </bk>
    <bk>
      <rc t="2" v="356"/>
    </bk>
    <bk>
      <rc t="2" v="357"/>
    </bk>
    <bk>
      <rc t="2" v="358"/>
    </bk>
    <bk>
      <rc t="2" v="359"/>
    </bk>
    <bk>
      <rc t="2" v="360"/>
    </bk>
    <bk>
      <rc t="2" v="361"/>
    </bk>
    <bk>
      <rc t="2" v="362"/>
    </bk>
    <bk>
      <rc t="2" v="363"/>
    </bk>
    <bk>
      <rc t="2" v="364"/>
    </bk>
    <bk>
      <rc t="2" v="365"/>
    </bk>
    <bk>
      <rc t="2" v="366"/>
    </bk>
    <bk>
      <rc t="2" v="367"/>
    </bk>
    <bk>
      <rc t="2" v="368"/>
    </bk>
    <bk>
      <rc t="2" v="369"/>
    </bk>
    <bk>
      <rc t="2" v="370"/>
    </bk>
    <bk>
      <rc t="2" v="371"/>
    </bk>
    <bk>
      <rc t="2" v="372"/>
    </bk>
    <bk>
      <rc t="2" v="373"/>
    </bk>
    <bk>
      <rc t="2" v="374"/>
    </bk>
    <bk>
      <rc t="2" v="375"/>
    </bk>
    <bk>
      <rc t="2" v="376"/>
    </bk>
    <bk>
      <rc t="2" v="377"/>
    </bk>
    <bk>
      <rc t="2" v="378"/>
    </bk>
    <bk>
      <rc t="2" v="379"/>
    </bk>
    <bk>
      <rc t="2" v="380"/>
    </bk>
    <bk>
      <rc t="2" v="381"/>
    </bk>
    <bk>
      <rc t="2" v="382"/>
    </bk>
    <bk>
      <rc t="2" v="383"/>
    </bk>
    <bk>
      <rc t="2" v="384"/>
    </bk>
    <bk>
      <rc t="2" v="385"/>
    </bk>
    <bk>
      <rc t="2" v="386"/>
    </bk>
    <bk>
      <rc t="2" v="387"/>
    </bk>
    <bk>
      <rc t="2" v="388"/>
    </bk>
    <bk>
      <rc t="2" v="389"/>
    </bk>
    <bk>
      <rc t="2" v="390"/>
    </bk>
    <bk>
      <rc t="2" v="391"/>
    </bk>
    <bk>
      <rc t="2" v="392"/>
    </bk>
    <bk>
      <rc t="2" v="393"/>
    </bk>
    <bk>
      <rc t="2" v="394"/>
    </bk>
    <bk>
      <rc t="2" v="395"/>
    </bk>
    <bk>
      <rc t="2" v="396"/>
    </bk>
    <bk>
      <rc t="2" v="397"/>
    </bk>
    <bk>
      <rc t="2" v="398"/>
    </bk>
    <bk>
      <rc t="2" v="399"/>
    </bk>
    <bk>
      <rc t="2" v="400"/>
    </bk>
    <bk>
      <rc t="2" v="401"/>
    </bk>
    <bk>
      <rc t="2" v="402"/>
    </bk>
    <bk>
      <rc t="2" v="403"/>
    </bk>
    <bk>
      <rc t="2" v="404"/>
    </bk>
    <bk>
      <rc t="2" v="405"/>
    </bk>
    <bk>
      <rc t="2" v="406"/>
    </bk>
    <bk>
      <rc t="2" v="407"/>
    </bk>
    <bk>
      <rc t="2" v="408"/>
    </bk>
    <bk>
      <rc t="2" v="409"/>
    </bk>
    <bk>
      <rc t="2" v="410"/>
    </bk>
    <bk>
      <rc t="2" v="411"/>
    </bk>
    <bk>
      <rc t="2" v="412"/>
    </bk>
    <bk>
      <rc t="2" v="413"/>
    </bk>
    <bk>
      <rc t="2" v="414"/>
    </bk>
    <bk>
      <rc t="2" v="415"/>
    </bk>
    <bk>
      <rc t="2" v="416"/>
    </bk>
    <bk>
      <rc t="2" v="417"/>
    </bk>
    <bk>
      <rc t="2" v="418"/>
    </bk>
    <bk>
      <rc t="2" v="419"/>
    </bk>
    <bk>
      <rc t="2" v="420"/>
    </bk>
    <bk>
      <rc t="2" v="421"/>
    </bk>
    <bk>
      <rc t="2" v="422"/>
    </bk>
    <bk>
      <rc t="2" v="423"/>
    </bk>
    <bk>
      <rc t="2" v="424"/>
    </bk>
    <bk>
      <rc t="2" v="425"/>
    </bk>
    <bk>
      <rc t="2" v="426"/>
    </bk>
    <bk>
      <rc t="2" v="427"/>
    </bk>
    <bk>
      <rc t="2" v="428"/>
    </bk>
    <bk>
      <rc t="2" v="429"/>
    </bk>
    <bk>
      <rc t="2" v="430"/>
    </bk>
    <bk>
      <rc t="2" v="431"/>
    </bk>
    <bk>
      <rc t="2" v="432"/>
    </bk>
    <bk>
      <rc t="2" v="433"/>
    </bk>
    <bk>
      <rc t="2" v="434"/>
    </bk>
    <bk>
      <rc t="2" v="435"/>
    </bk>
    <bk>
      <rc t="2" v="436"/>
    </bk>
    <bk>
      <rc t="2" v="437"/>
    </bk>
    <bk>
      <rc t="2" v="438"/>
    </bk>
    <bk>
      <rc t="2" v="439"/>
    </bk>
    <bk>
      <rc t="2" v="440"/>
    </bk>
    <bk>
      <rc t="2" v="441"/>
    </bk>
    <bk>
      <rc t="2" v="442"/>
    </bk>
    <bk>
      <rc t="2" v="443"/>
    </bk>
    <bk>
      <rc t="2" v="444"/>
    </bk>
    <bk>
      <rc t="2" v="445"/>
    </bk>
    <bk>
      <rc t="2" v="446"/>
    </bk>
    <bk>
      <rc t="2" v="447"/>
    </bk>
    <bk>
      <rc t="2" v="448"/>
    </bk>
    <bk>
      <rc t="2" v="449"/>
    </bk>
    <bk>
      <rc t="2" v="450"/>
    </bk>
    <bk>
      <rc t="2" v="451"/>
    </bk>
    <bk>
      <rc t="2" v="452"/>
    </bk>
    <bk>
      <rc t="2" v="453"/>
    </bk>
    <bk>
      <rc t="2" v="454"/>
    </bk>
    <bk>
      <rc t="2" v="455"/>
    </bk>
    <bk>
      <rc t="2" v="456"/>
    </bk>
    <bk>
      <rc t="2" v="457"/>
    </bk>
    <bk>
      <rc t="2" v="458"/>
    </bk>
    <bk>
      <rc t="2" v="459"/>
    </bk>
    <bk>
      <rc t="2" v="460"/>
    </bk>
    <bk>
      <rc t="2" v="461"/>
    </bk>
    <bk>
      <rc t="2" v="462"/>
    </bk>
    <bk>
      <rc t="2" v="463"/>
    </bk>
    <bk>
      <rc t="2" v="464"/>
    </bk>
    <bk>
      <rc t="2" v="465"/>
    </bk>
    <bk>
      <rc t="2" v="466"/>
    </bk>
    <bk>
      <rc t="2" v="467"/>
    </bk>
    <bk>
      <rc t="2" v="468"/>
    </bk>
    <bk>
      <rc t="2" v="469"/>
    </bk>
    <bk>
      <rc t="2" v="470"/>
    </bk>
    <bk>
      <rc t="2" v="471"/>
    </bk>
    <bk>
      <rc t="2" v="472"/>
    </bk>
    <bk>
      <rc t="2" v="473"/>
    </bk>
    <bk>
      <rc t="2" v="474"/>
    </bk>
    <bk>
      <rc t="2" v="475"/>
    </bk>
    <bk>
      <rc t="2" v="476"/>
    </bk>
    <bk>
      <rc t="2" v="477"/>
    </bk>
    <bk>
      <rc t="2" v="478"/>
    </bk>
    <bk>
      <rc t="2" v="479"/>
    </bk>
    <bk>
      <rc t="2" v="480"/>
    </bk>
    <bk>
      <rc t="2" v="481"/>
    </bk>
    <bk>
      <rc t="2" v="482"/>
    </bk>
    <bk>
      <rc t="2" v="483"/>
    </bk>
    <bk>
      <rc t="2" v="484"/>
    </bk>
    <bk>
      <rc t="2" v="485"/>
    </bk>
    <bk>
      <rc t="2" v="486"/>
    </bk>
    <bk>
      <rc t="2" v="487"/>
    </bk>
    <bk>
      <rc t="2" v="488"/>
    </bk>
    <bk>
      <rc t="2" v="489"/>
    </bk>
    <bk>
      <rc t="2" v="490"/>
    </bk>
    <bk>
      <rc t="2" v="491"/>
    </bk>
    <bk>
      <rc t="2" v="492"/>
    </bk>
    <bk>
      <rc t="2" v="493"/>
    </bk>
    <bk>
      <rc t="2" v="494"/>
    </bk>
    <bk>
      <rc t="2" v="495"/>
    </bk>
    <bk>
      <rc t="2" v="496"/>
    </bk>
    <bk>
      <rc t="2" v="497"/>
    </bk>
    <bk>
      <rc t="2" v="498"/>
    </bk>
    <bk>
      <rc t="2" v="499"/>
    </bk>
    <bk>
      <rc t="2" v="500"/>
    </bk>
    <bk>
      <rc t="2" v="501"/>
    </bk>
    <bk>
      <rc t="2" v="502"/>
    </bk>
    <bk>
      <rc t="2" v="503"/>
    </bk>
    <bk>
      <rc t="2" v="504"/>
    </bk>
    <bk>
      <rc t="2" v="505"/>
    </bk>
    <bk>
      <rc t="2" v="506"/>
    </bk>
    <bk>
      <rc t="2" v="507"/>
    </bk>
    <bk>
      <rc t="2" v="508"/>
    </bk>
    <bk>
      <rc t="2" v="509"/>
    </bk>
    <bk>
      <rc t="2" v="510"/>
    </bk>
    <bk>
      <rc t="2" v="511"/>
    </bk>
    <bk>
      <rc t="2" v="512"/>
    </bk>
    <bk>
      <rc t="2" v="513"/>
    </bk>
    <bk>
      <rc t="2" v="514"/>
    </bk>
    <bk>
      <rc t="2" v="515"/>
    </bk>
    <bk>
      <rc t="2" v="516"/>
    </bk>
    <bk>
      <rc t="2" v="517"/>
    </bk>
    <bk>
      <rc t="2" v="518"/>
    </bk>
    <bk>
      <rc t="2" v="519"/>
    </bk>
    <bk>
      <rc t="2" v="520"/>
    </bk>
    <bk>
      <rc t="2" v="521"/>
    </bk>
    <bk>
      <rc t="2" v="522"/>
    </bk>
    <bk>
      <rc t="2" v="523"/>
    </bk>
    <bk>
      <rc t="2" v="524"/>
    </bk>
    <bk>
      <rc t="2" v="525"/>
    </bk>
    <bk>
      <rc t="2" v="526"/>
    </bk>
    <bk>
      <rc t="2" v="527"/>
    </bk>
    <bk>
      <rc t="2" v="528"/>
    </bk>
    <bk>
      <rc t="2" v="529"/>
    </bk>
    <bk>
      <rc t="2" v="530"/>
    </bk>
    <bk>
      <rc t="2" v="531"/>
    </bk>
    <bk>
      <rc t="2" v="532"/>
    </bk>
    <bk>
      <rc t="2" v="533"/>
    </bk>
    <bk>
      <rc t="2" v="534"/>
    </bk>
    <bk>
      <rc t="2" v="535"/>
    </bk>
    <bk>
      <rc t="2" v="536"/>
    </bk>
    <bk>
      <rc t="2" v="537"/>
    </bk>
    <bk>
      <rc t="2" v="538"/>
    </bk>
    <bk>
      <rc t="2" v="539"/>
    </bk>
    <bk>
      <rc t="2" v="540"/>
    </bk>
    <bk>
      <rc t="2" v="541"/>
    </bk>
    <bk>
      <rc t="2" v="542"/>
    </bk>
    <bk>
      <rc t="2" v="543"/>
    </bk>
    <bk>
      <rc t="2" v="544"/>
    </bk>
  </valueMetadata>
</metadata>
</file>

<file path=xl/sharedStrings.xml><?xml version="1.0" encoding="utf-8"?>
<sst xmlns="http://schemas.openxmlformats.org/spreadsheetml/2006/main" count="50" uniqueCount="50">
  <si>
    <t>Finding the Efficient Frontier</t>
  </si>
  <si>
    <t>Today's date</t>
  </si>
  <si>
    <t xml:space="preserve">Start date  </t>
  </si>
  <si>
    <t xml:space="preserve">End date  </t>
  </si>
  <si>
    <t>Risk-free Rate</t>
  </si>
  <si>
    <t>Market Risk Premium (Rm-Rf)</t>
  </si>
  <si>
    <t>Ticker Symbols</t>
  </si>
  <si>
    <t>JPM</t>
  </si>
  <si>
    <t>KO</t>
  </si>
  <si>
    <t>GRMN</t>
  </si>
  <si>
    <t>HD</t>
  </si>
  <si>
    <t>LUV</t>
  </si>
  <si>
    <t>LLY</t>
  </si>
  <si>
    <t>XOM</t>
  </si>
  <si>
    <t>PRICES</t>
  </si>
  <si>
    <t>RETURNS</t>
  </si>
  <si>
    <t>Rf</t>
  </si>
  <si>
    <t>Date</t>
  </si>
  <si>
    <t>ivv</t>
  </si>
  <si>
    <t>Rm-Rf</t>
  </si>
  <si>
    <t>_1</t>
  </si>
  <si>
    <t>_2</t>
  </si>
  <si>
    <t>_3</t>
  </si>
  <si>
    <t>_4</t>
  </si>
  <si>
    <t>_5</t>
  </si>
  <si>
    <t>_6</t>
  </si>
  <si>
    <t>_7</t>
  </si>
  <si>
    <t>_8</t>
  </si>
  <si>
    <t>Monthly Standard Deviation</t>
  </si>
  <si>
    <t>Annualized Standard Deviation</t>
  </si>
  <si>
    <t>Correlation with S&amp;P</t>
  </si>
  <si>
    <t>Beta</t>
  </si>
  <si>
    <t>Expected Return from CAPM</t>
  </si>
  <si>
    <t>Correlation Matrix</t>
  </si>
  <si>
    <t>Stand Dev</t>
  </si>
  <si>
    <t>Expect Ret</t>
  </si>
  <si>
    <t>Var/Cov Matrix</t>
  </si>
  <si>
    <t>Weighted Var/Cov Matrix</t>
  </si>
  <si>
    <t>Weights</t>
  </si>
  <si>
    <t>Sum</t>
  </si>
  <si>
    <t>Port. Var</t>
  </si>
  <si>
    <t>Port. S.D.</t>
  </si>
  <si>
    <t>Port. E(R.)</t>
  </si>
  <si>
    <t>Sharpe</t>
  </si>
  <si>
    <t>Efficient Frontier</t>
  </si>
  <si>
    <t>Expect. Ret.</t>
  </si>
  <si>
    <t>Stand. Dev.</t>
  </si>
  <si>
    <t>MVP</t>
  </si>
  <si>
    <t>MVE</t>
  </si>
  <si>
    <t>SBUX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</si>
</sst>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"/>
    <numFmt numFmtId="165" formatCode="0.000%"/>
    <numFmt numFmtId="166" formatCode="0.000000"/>
    <numFmt numFmtId="167" formatCode="0.0000"/>
  </numFmts>
  <fonts count="13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10" fontId="3" fillId="0" borderId="2" xfId="1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4" fillId="0" borderId="0" xfId="0" applyFont="1" applyProtection="1">
      <protection locked="0"/>
    </xf>
    <xf numFmtId="0" fontId="4" fillId="0" borderId="0" xfId="0" applyFont="1"/>
    <xf numFmtId="0" fontId="5" fillId="0" borderId="0" xfId="0" applyFont="1" applyAlignment="1" applyProtection="1">
      <alignment horizontal="center"/>
      <protection locked="0"/>
    </xf>
    <xf numFmtId="14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indent="2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10" fontId="11" fillId="0" borderId="0" xfId="1" applyNumberFormat="1" applyFont="1"/>
    <xf numFmtId="10" fontId="4" fillId="0" borderId="0" xfId="0" applyNumberFormat="1" applyFont="1"/>
    <xf numFmtId="165" fontId="4" fillId="0" borderId="0" xfId="0" applyNumberFormat="1" applyFont="1"/>
    <xf numFmtId="0" fontId="9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14" fontId="4" fillId="0" borderId="0" xfId="0" applyNumberFormat="1" applyFont="1"/>
    <xf numFmtId="10" fontId="11" fillId="0" borderId="0" xfId="1" applyNumberFormat="1" applyFont="1" applyAlignment="1">
      <alignment horizontal="center"/>
    </xf>
    <xf numFmtId="166" fontId="4" fillId="0" borderId="0" xfId="0" applyNumberFormat="1" applyFont="1"/>
    <xf numFmtId="167" fontId="4" fillId="0" borderId="0" xfId="0" applyNumberFormat="1" applyFont="1"/>
    <xf numFmtId="0" fontId="10" fillId="0" borderId="0" xfId="0" applyFont="1"/>
    <xf numFmtId="0" fontId="12" fillId="0" borderId="0" xfId="0" applyFont="1" applyAlignment="1">
      <alignment horizontal="center"/>
    </xf>
    <xf numFmtId="10" fontId="9" fillId="0" borderId="0" xfId="0" applyNumberFormat="1" applyFont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10" fontId="5" fillId="0" borderId="0" xfId="0" applyNumberFormat="1" applyFont="1" applyAlignment="1">
      <alignment horizontal="center"/>
    </xf>
    <xf numFmtId="0" fontId="4" fillId="0" borderId="5" xfId="0" applyFont="1" applyBorder="1"/>
    <xf numFmtId="10" fontId="9" fillId="0" borderId="6" xfId="0" applyNumberFormat="1" applyFont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6" fontId="4" fillId="0" borderId="3" xfId="0" applyNumberFormat="1" applyFont="1" applyBorder="1"/>
    <xf numFmtId="166" fontId="4" fillId="0" borderId="5" xfId="0" applyNumberFormat="1" applyFont="1" applyBorder="1"/>
    <xf numFmtId="0" fontId="5" fillId="0" borderId="0" xfId="0" applyFont="1" applyAlignment="1">
      <alignment horizontal="center"/>
    </xf>
    <xf numFmtId="10" fontId="11" fillId="0" borderId="0" xfId="1" applyNumberFormat="1" applyFont="1" applyFill="1"/>
    <xf numFmtId="10" fontId="4" fillId="0" borderId="0" xfId="1" applyNumberFormat="1" applyFont="1"/>
    <xf numFmtId="0" fontId="9" fillId="0" borderId="6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10" fontId="11" fillId="0" borderId="7" xfId="1" applyNumberFormat="1" applyFont="1" applyBorder="1" applyAlignment="1">
      <alignment horizontal="center"/>
    </xf>
    <xf numFmtId="10" fontId="11" fillId="0" borderId="7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/>
    </xf>
    <xf numFmtId="10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ichStyles" Target="richData/richStyl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Array" Target="richData/rdarray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microsoft.com/office/2017/06/relationships/rdSupportingPropertyBag" Target="richData/rdsupportingpropertybag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microsoft.com/office/2017/06/relationships/rdSupportingPropertyBagStructure" Target="richData/rdsupportingpropertybagstructure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Portfolio Efficient Frontier </a:t>
            </a:r>
          </a:p>
        </c:rich>
      </c:tx>
      <c:layout>
        <c:manualLayout>
          <c:xMode val="edge"/>
          <c:yMode val="edge"/>
          <c:x val="0.3236993584970933"/>
          <c:y val="5.7598822874413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53371868978806"/>
          <c:y val="0.15705775283836648"/>
          <c:w val="0.7890173410404614"/>
          <c:h val="0.48906560636182944"/>
        </c:manualLayout>
      </c:layout>
      <c:scatterChart>
        <c:scatterStyle val="smoothMarker"/>
        <c:varyColors val="0"/>
        <c:ser>
          <c:idx val="0"/>
          <c:order val="0"/>
          <c:tx>
            <c:v>Efficient Frontier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'Efficient Frontier'!$B$3:$B$14</c:f>
              <c:numCache>
                <c:formatCode>0.00%</c:formatCode>
                <c:ptCount val="12"/>
              </c:numCache>
            </c:numRef>
          </c:xVal>
          <c:yVal>
            <c:numRef>
              <c:f>'Efficient Frontier'!$A$3:$A$14</c:f>
              <c:numCache>
                <c:formatCode>0%</c:formatCode>
                <c:ptCount val="12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0.05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0.09</c:v>
                </c:pt>
                <c:pt idx="8">
                  <c:v>0.1</c:v>
                </c:pt>
                <c:pt idx="9">
                  <c:v>0.11</c:v>
                </c:pt>
                <c:pt idx="10">
                  <c:v>0.12</c:v>
                </c:pt>
                <c:pt idx="11">
                  <c:v>0.13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87A-43A1-AE54-E7F97EC1E003}"/>
            </c:ext>
          </c:extLst>
        </c:ser>
        <c:ser>
          <c:idx val="1"/>
          <c:order val="1"/>
          <c:tx>
            <c:strRef>
              <c:f>Returns!$K$2</c:f>
              <c:strCache>
                <c:ptCount val="1"/>
                <c:pt idx="0">
                  <c:v>SBUX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Returns!$K$66</c:f>
              <c:numCache>
                <c:formatCode>0.00%</c:formatCode>
                <c:ptCount val="1"/>
                <c:pt idx="0">
                  <c:v>0.2973119029563801</c:v>
                </c:pt>
              </c:numCache>
            </c:numRef>
          </c:xVal>
          <c:yVal>
            <c:numRef>
              <c:f>Returns!$K$69</c:f>
              <c:numCache>
                <c:formatCode>0.00%</c:formatCode>
                <c:ptCount val="1"/>
                <c:pt idx="0">
                  <c:v>8.7550782287906442E-2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7A-43A1-AE54-E7F97EC1E003}"/>
            </c:ext>
          </c:extLst>
        </c:ser>
        <c:ser>
          <c:idx val="2"/>
          <c:order val="2"/>
          <c:tx>
            <c:strRef>
              <c:f>Returns!$L$2</c:f>
              <c:strCache>
                <c:ptCount val="1"/>
                <c:pt idx="0">
                  <c:v>JPM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Returns!$L$66</c:f>
              <c:numCache>
                <c:formatCode>0.00%</c:formatCode>
                <c:ptCount val="1"/>
                <c:pt idx="0">
                  <c:v>0.23201633155475943</c:v>
                </c:pt>
              </c:numCache>
            </c:numRef>
          </c:xVal>
          <c:yVal>
            <c:numRef>
              <c:f>Returns!$L$69</c:f>
              <c:numCache>
                <c:formatCode>0.00%</c:formatCode>
                <c:ptCount val="1"/>
                <c:pt idx="0">
                  <c:v>8.774639355533706E-2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87A-43A1-AE54-E7F97EC1E003}"/>
            </c:ext>
          </c:extLst>
        </c:ser>
        <c:ser>
          <c:idx val="3"/>
          <c:order val="3"/>
          <c:tx>
            <c:strRef>
              <c:f>Returns!$M$2</c:f>
              <c:strCache>
                <c:ptCount val="1"/>
                <c:pt idx="0">
                  <c:v>KO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Returns!$M$66</c:f>
              <c:numCache>
                <c:formatCode>0.00%</c:formatCode>
                <c:ptCount val="1"/>
                <c:pt idx="0">
                  <c:v>0.16628865007734761</c:v>
                </c:pt>
              </c:numCache>
            </c:numRef>
          </c:xVal>
          <c:yVal>
            <c:numRef>
              <c:f>Returns!$M$69</c:f>
              <c:numCache>
                <c:formatCode>0.00%</c:formatCode>
                <c:ptCount val="1"/>
                <c:pt idx="0">
                  <c:v>5.0877968284284772E-2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87A-43A1-AE54-E7F97EC1E003}"/>
            </c:ext>
          </c:extLst>
        </c:ser>
        <c:ser>
          <c:idx val="4"/>
          <c:order val="4"/>
          <c:tx>
            <c:strRef>
              <c:f>Returns!$N$2</c:f>
              <c:strCache>
                <c:ptCount val="1"/>
                <c:pt idx="0">
                  <c:v>GRMN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Returns!$N$66</c:f>
              <c:numCache>
                <c:formatCode>0.00%</c:formatCode>
                <c:ptCount val="1"/>
                <c:pt idx="0">
                  <c:v>0.27603922130457031</c:v>
                </c:pt>
              </c:numCache>
            </c:numRef>
          </c:xVal>
          <c:yVal>
            <c:numRef>
              <c:f>Returns!$N$69</c:f>
              <c:numCache>
                <c:formatCode>0.00%</c:formatCode>
                <c:ptCount val="1"/>
                <c:pt idx="0">
                  <c:v>8.4002637429859583E-2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87A-43A1-AE54-E7F97EC1E003}"/>
            </c:ext>
          </c:extLst>
        </c:ser>
        <c:ser>
          <c:idx val="5"/>
          <c:order val="5"/>
          <c:tx>
            <c:strRef>
              <c:f>Returns!$O$2</c:f>
              <c:strCache>
                <c:ptCount val="1"/>
                <c:pt idx="0">
                  <c:v>HD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Returns!$O$66</c:f>
              <c:numCache>
                <c:formatCode>0.00%</c:formatCode>
                <c:ptCount val="1"/>
                <c:pt idx="0">
                  <c:v>0.23622486150733321</c:v>
                </c:pt>
              </c:numCache>
            </c:numRef>
          </c:xVal>
          <c:yVal>
            <c:numRef>
              <c:f>Returns!$O$69</c:f>
              <c:numCache>
                <c:formatCode>0.00%</c:formatCode>
                <c:ptCount val="1"/>
                <c:pt idx="0">
                  <c:v>8.6399917897230616E-2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87A-43A1-AE54-E7F97EC1E003}"/>
            </c:ext>
          </c:extLst>
        </c:ser>
        <c:ser>
          <c:idx val="6"/>
          <c:order val="6"/>
          <c:tx>
            <c:strRef>
              <c:f>Returns!$P$2</c:f>
              <c:strCache>
                <c:ptCount val="1"/>
                <c:pt idx="0">
                  <c:v>LUV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Returns!$P$66</c:f>
              <c:numCache>
                <c:formatCode>0.00%</c:formatCode>
                <c:ptCount val="1"/>
                <c:pt idx="0">
                  <c:v>0.36784175172504885</c:v>
                </c:pt>
              </c:numCache>
            </c:numRef>
          </c:xVal>
          <c:yVal>
            <c:numRef>
              <c:f>Returns!$P$69</c:f>
              <c:numCache>
                <c:formatCode>0.00%</c:formatCode>
                <c:ptCount val="1"/>
                <c:pt idx="0">
                  <c:v>9.4621634235220436E-2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87A-43A1-AE54-E7F97EC1E003}"/>
            </c:ext>
          </c:extLst>
        </c:ser>
        <c:ser>
          <c:idx val="7"/>
          <c:order val="7"/>
          <c:tx>
            <c:strRef>
              <c:f>Returns!$Q$2</c:f>
              <c:strCache>
                <c:ptCount val="1"/>
                <c:pt idx="0">
                  <c:v>LLY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Returns!$Q$66</c:f>
              <c:numCache>
                <c:formatCode>0.00%</c:formatCode>
                <c:ptCount val="1"/>
                <c:pt idx="0">
                  <c:v>0.30883720131378356</c:v>
                </c:pt>
              </c:numCache>
            </c:numRef>
          </c:xVal>
          <c:yVal>
            <c:numRef>
              <c:f>Returns!$Q$69</c:f>
              <c:numCache>
                <c:formatCode>0.00%</c:formatCode>
                <c:ptCount val="1"/>
                <c:pt idx="0">
                  <c:v>5.7495467135589916E-2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87A-43A1-AE54-E7F97EC1E003}"/>
            </c:ext>
          </c:extLst>
        </c:ser>
        <c:ser>
          <c:idx val="8"/>
          <c:order val="8"/>
          <c:tx>
            <c:strRef>
              <c:f>Returns!$R$2</c:f>
              <c:strCache>
                <c:ptCount val="1"/>
                <c:pt idx="0">
                  <c:v>XOM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Returns!$R$66</c:f>
              <c:numCache>
                <c:formatCode>0.00%</c:formatCode>
                <c:ptCount val="1"/>
                <c:pt idx="0">
                  <c:v>0.261211185511112</c:v>
                </c:pt>
              </c:numCache>
            </c:numRef>
          </c:xVal>
          <c:yVal>
            <c:numRef>
              <c:f>Returns!$R$69</c:f>
              <c:numCache>
                <c:formatCode>0.00%</c:formatCode>
                <c:ptCount val="1"/>
                <c:pt idx="0">
                  <c:v>4.0476307473713641E-2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87A-43A1-AE54-E7F97EC1E003}"/>
            </c:ext>
          </c:extLst>
        </c:ser>
        <c:ser>
          <c:idx val="10"/>
          <c:order val="9"/>
          <c:tx>
            <c:v>MVP</c:v>
          </c:tx>
          <c:xVal>
            <c:numRef>
              <c:f>'Efficient Frontier'!$B$15</c:f>
              <c:numCache>
                <c:formatCode>0.00%</c:formatCode>
                <c:ptCount val="1"/>
              </c:numCache>
            </c:numRef>
          </c:xVal>
          <c:yVal>
            <c:numRef>
              <c:f>'Efficient Frontier'!$A$15</c:f>
              <c:numCache>
                <c:formatCode>0.00%</c:formatCode>
                <c:ptCount val="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187A-43A1-AE54-E7F97EC1E003}"/>
            </c:ext>
          </c:extLst>
        </c:ser>
        <c:ser>
          <c:idx val="11"/>
          <c:order val="10"/>
          <c:tx>
            <c:v>MVE</c:v>
          </c:tx>
          <c:xVal>
            <c:numRef>
              <c:f>'Efficient Frontier'!$B$16</c:f>
              <c:numCache>
                <c:formatCode>0.00%</c:formatCode>
                <c:ptCount val="1"/>
              </c:numCache>
            </c:numRef>
          </c:xVal>
          <c:yVal>
            <c:numRef>
              <c:f>'Efficient Frontier'!$A$16</c:f>
              <c:numCache>
                <c:formatCode>0.00%</c:formatCode>
                <c:ptCount val="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187A-43A1-AE54-E7F97EC1E003}"/>
            </c:ext>
          </c:extLst>
        </c:ser>
        <c:ser>
          <c:idx val="13"/>
          <c:order val="11"/>
          <c:tx>
            <c:v>Rf</c:v>
          </c:tx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0.03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B-187A-43A1-AE54-E7F97EC1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3899808"/>
        <c:axId val="-143898720"/>
      </c:scatterChart>
      <c:valAx>
        <c:axId val="-143899808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Standard Deviation</a:t>
                </a:r>
              </a:p>
            </c:rich>
          </c:tx>
          <c:layout>
            <c:manualLayout>
              <c:xMode val="edge"/>
              <c:yMode val="edge"/>
              <c:x val="0.42341040462427748"/>
              <c:y val="0.709741454731951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43898720"/>
        <c:crosses val="autoZero"/>
        <c:crossBetween val="midCat"/>
      </c:valAx>
      <c:valAx>
        <c:axId val="-1438987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Expected Return </a:t>
                </a:r>
              </a:p>
            </c:rich>
          </c:tx>
          <c:layout>
            <c:manualLayout>
              <c:xMode val="edge"/>
              <c:yMode val="edge"/>
              <c:x val="2.1676300578034682E-2"/>
              <c:y val="0.2564612182097927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438998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902984906256346"/>
          <c:y val="0.77112045653384231"/>
          <c:w val="0.76563045226283133"/>
          <c:h val="0.12987962711557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17</xdr:row>
      <xdr:rowOff>38100</xdr:rowOff>
    </xdr:from>
    <xdr:to>
      <xdr:col>10</xdr:col>
      <xdr:colOff>552450</xdr:colOff>
      <xdr:row>43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41B2AD-524F-40D2-A51C-2FD6DD5AE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0.51207</cdr:x>
      <cdr:y>0.49877</cdr:y>
    </cdr:from>
    <cdr:to>
      <cdr:x>0.52784</cdr:x>
      <cdr:y>0.5642</cdr:y>
    </cdr:to>
    <cdr:sp macro="" textlink="">
      <cdr:nvSpPr>
        <cdr:cNvPr id="419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3281" y="2397593"/>
          <a:ext cx="104089" cy="314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45720" tIns="36576" rIns="45720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825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cdr:txBody>
    </cdr:sp>
  </cdr:relSizeAnchor>
</c:userShape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array.xml><?xml version="1.0" encoding="utf-8"?>
<arrayData xmlns="http://schemas.microsoft.com/office/spreadsheetml/2017/richdata2" count="10">
  <a r="1" c="61">
    <v t="i">0</v>
    <v t="i">30</v>
    <v t="i">61</v>
    <v t="i">91</v>
    <v t="i">122</v>
    <v t="i">153</v>
    <v t="i">183</v>
    <v t="i">214</v>
    <v t="i">244</v>
    <v t="i">275</v>
    <v t="i">306</v>
    <v t="i">334</v>
    <v t="i">365</v>
    <v t="i">395</v>
    <v t="i">426</v>
    <v t="i">456</v>
    <v t="i">487</v>
    <v t="i">518</v>
    <v t="i">548</v>
    <v t="i">579</v>
    <v t="i">609</v>
    <v t="i">640</v>
    <v t="i">671</v>
    <v t="i">699</v>
    <v t="i">730</v>
    <v t="i">760</v>
    <v t="i">791</v>
    <v t="i">821</v>
    <v t="i">852</v>
    <v t="i">883</v>
    <v t="i">913</v>
    <v t="i">944</v>
    <v t="i">974</v>
    <v t="i">1005</v>
    <v t="i">1036</v>
    <v t="i">1065</v>
    <v t="i">1096</v>
    <v t="i">1126</v>
    <v t="i">1157</v>
    <v t="i">1187</v>
    <v t="i">1218</v>
    <v t="i">1249</v>
    <v t="i">1279</v>
    <v t="i">1310</v>
    <v t="i">1340</v>
    <v t="i">1371</v>
    <v t="i">1402</v>
    <v t="i">1430</v>
    <v t="i">1461</v>
    <v t="i">1491</v>
    <v t="i">1522</v>
    <v t="i">1552</v>
    <v t="i">1583</v>
    <v t="i">1614</v>
    <v t="i">1644</v>
    <v t="i">1675</v>
    <v t="i">1705</v>
    <v t="i">1736</v>
    <v t="i">1767</v>
    <v t="i">1795</v>
    <v t="i">1826</v>
  </a>
  <a r="1" c="61">
    <v>137.24</v>
    <v>142.24</v>
    <v>144.63999999999999</v>
    <v>157.19999999999999</v>
    <v>174.43</v>
    <v>155.46</v>
    <v>143.6</v>
    <v>133.54</v>
    <v>136.16999999999999</v>
    <v>124.42</v>
    <v>110.44</v>
    <v>118.61</v>
    <v>109.74</v>
    <v>105.62</v>
    <v>98.25</v>
    <v>97.62</v>
    <v>88.49</v>
    <v>80.31</v>
    <v>88.04</v>
    <v>92.99</v>
    <v>92.29</v>
    <v>98.88</v>
    <v>98.13</v>
    <v>100.92</v>
    <v>98.17</v>
    <v>103.15</v>
    <v>104.29</v>
    <v>105.89</v>
    <v>106.02</v>
    <v>105.2</v>
    <v>102.53</v>
    <v>122.24</v>
    <v>128.54</v>
    <v>119.49</v>
    <v>137.35</v>
    <v>148.87</v>
    <v>144.47</v>
    <v>163.85</v>
    <v>162.91999999999999</v>
    <v>171.25</v>
    <v>183.29</v>
    <v>176.03</v>
    <v>198.35</v>
    <v>212.6</v>
    <v>206.26</v>
    <v>215.85</v>
    <v>228.93</v>
    <v>217.13</v>
    <v>186.87</v>
    <v>202.97</v>
    <v>208.72</v>
    <v>218.76</v>
    <v>241.82</v>
    <v>246.22</v>
    <v>213.94</v>
    <v>195.32</v>
    <v>202.85</v>
    <v>201.64</v>
    <v>252.83</v>
    <v>232.01</v>
    <v>251.14</v>
  </a>
  <a r="1" c="61">
    <v>62.78</v>
    <v>61.46</v>
    <v>53.09</v>
    <v>50.52</v>
    <v>49.78</v>
    <v>51.43</v>
    <v>47.28</v>
    <v>44.4</v>
    <v>42.84</v>
    <v>44.76</v>
    <v>43.8</v>
    <v>45.8</v>
    <v>46.72</v>
    <v>45.86</v>
    <v>36.119999999999997</v>
    <v>38.119999999999997</v>
    <v>36.700000000000003</v>
    <v>30.84</v>
    <v>36.35</v>
    <v>39.909999999999997</v>
    <v>33.67</v>
    <v>35.770000000000003</v>
    <v>33.58</v>
    <v>32.54</v>
    <v>30.29</v>
    <v>29.87</v>
    <v>36.21</v>
    <v>34.159999999999997</v>
    <v>31.6</v>
    <v>27.07</v>
    <v>22.23</v>
    <v>25.57</v>
    <v>28.88</v>
    <v>29.89</v>
    <v>34.270000000000003</v>
    <v>29.19</v>
    <v>25.94</v>
    <v>26.84</v>
    <v>28.61</v>
    <v>26.94</v>
    <v>28.92</v>
    <v>29.63</v>
    <v>30.58</v>
    <v>32.36</v>
    <v>33.619999999999997</v>
    <v>30.71</v>
    <v>31.06</v>
    <v>33.58</v>
    <v>27.96</v>
    <v>33.380000000000003</v>
    <v>32.44</v>
    <v>30.93</v>
    <v>32.9</v>
    <v>31.91</v>
    <v>30.3</v>
    <v>34.81</v>
    <v>41.33</v>
    <v>47.52</v>
    <v>49.26</v>
    <v>37.57</v>
    <v>37.92</v>
  </a>
  <a r="1" c="61">
    <v>182.77</v>
    <v>199.74</v>
    <v>229.52</v>
    <v>243.5</v>
    <v>258.29000000000002</v>
    <v>231.05</v>
    <v>254.76</v>
    <v>248.04</v>
    <v>276.22000000000003</v>
    <v>245.39</v>
    <v>249.95</v>
    <v>286.37</v>
    <v>292.13</v>
    <v>313.44</v>
    <v>324.23</v>
    <v>329.69</v>
    <v>301.23</v>
    <v>323.35000000000002</v>
    <v>362.09</v>
    <v>371.08</v>
    <v>365.84</v>
    <v>344.15</v>
    <v>311.22000000000003</v>
    <v>343.42</v>
    <v>395.86</v>
    <v>429.46</v>
    <v>468.98</v>
    <v>454.55</v>
    <v>554.20000000000005</v>
    <v>537.13</v>
    <v>553.92999999999995</v>
    <v>591.04</v>
    <v>582.91999999999996</v>
    <v>645.61</v>
    <v>753.68</v>
    <v>777.96</v>
    <v>781.1</v>
    <v>820.34</v>
    <v>905.38</v>
    <v>804.27</v>
    <v>960.02</v>
    <v>885.94</v>
    <v>829.74</v>
    <v>795.35</v>
    <v>772</v>
    <v>811.08</v>
    <v>920.63</v>
    <v>825.91</v>
    <v>898.95</v>
    <v>737.67</v>
    <v>779.53</v>
    <v>740.07</v>
    <v>732.58</v>
    <v>763</v>
    <v>862.86</v>
    <v>1075.47</v>
    <v>1074.68</v>
    <v>1037.1500000000001</v>
    <v>1051.99</v>
    <v>919.77</v>
    <v>934.6</v>
  </a>
  <a r="1" c="61">
    <v>323.67</v>
    <v>318.91000000000003</v>
    <v>318.89</v>
    <v>328.19</v>
    <v>326.18</v>
    <v>328.26</v>
    <v>371.74</v>
    <v>400.61</v>
    <v>415.01</v>
    <v>366.98</v>
    <v>315.83</v>
    <v>299.33</v>
    <v>300.39999999999998</v>
    <v>302.75</v>
    <v>274.27</v>
    <v>300.94</v>
    <v>288.42</v>
    <v>275.94</v>
    <v>296.13</v>
    <v>323.99</v>
    <v>315.86</v>
    <v>324.17</v>
    <v>296.54000000000002</v>
    <v>295.12</v>
    <v>300.54000000000002</v>
    <v>283.45</v>
    <v>310.64</v>
    <v>333.84</v>
    <v>330.3</v>
    <v>302.16000000000003</v>
    <v>284.69</v>
    <v>313.49</v>
    <v>346.55</v>
    <v>352.96</v>
    <v>380.61</v>
    <v>383.6</v>
    <v>334.22</v>
    <v>334.87</v>
    <v>344.24</v>
    <v>368.16</v>
    <v>368.5</v>
    <v>405.2</v>
    <v>393.75</v>
    <v>429.13</v>
    <v>388.99</v>
    <v>411.98</v>
    <v>396.6</v>
    <v>366.49</v>
    <v>360.49</v>
    <v>368.29</v>
    <v>366.64</v>
    <v>367.51</v>
    <v>406.77</v>
    <v>405.19</v>
    <v>379.59</v>
    <v>356.92</v>
    <v>344.1</v>
    <v>374.59</v>
    <v>380.72</v>
    <v>328.89</v>
    <v>328.8</v>
  </a>
  <a r="1" c="61">
    <v>57.24</v>
    <v>58.37</v>
    <v>63.08</v>
    <v>57.57</v>
    <v>54.52</v>
    <v>58.82</v>
    <v>64.47</v>
    <v>59.84</v>
    <v>61.19</v>
    <v>75.959999999999994</v>
    <v>78.42</v>
    <v>82.59</v>
    <v>85.25</v>
    <v>96</v>
    <v>85.64</v>
    <v>96.93</v>
    <v>95.59</v>
    <v>87.31</v>
    <v>110.81</v>
    <v>111.34</v>
    <v>110.3</v>
    <v>116.01</v>
    <v>109.91</v>
    <v>109.66</v>
    <v>118.34</v>
    <v>102.18</v>
    <v>107.25</v>
    <v>107.24</v>
    <v>111.19</v>
    <v>117.58</v>
    <v>105.85</v>
    <v>102.74</v>
    <v>99.98</v>
    <v>102.81</v>
    <v>104.52</v>
    <v>116.24</v>
    <v>118.27</v>
    <v>117.26</v>
    <v>115.12</v>
    <v>118.59</v>
    <v>117.94</v>
    <v>117.22</v>
    <v>116.78</v>
    <v>117.96</v>
    <v>107.57</v>
    <v>106.83</v>
    <v>111.33</v>
    <v>118.93</v>
    <v>105.63</v>
    <v>102.3</v>
    <v>107.8</v>
    <v>111.64</v>
    <v>114.29</v>
    <v>112.75</v>
    <v>114.36</v>
    <v>115.92</v>
    <v>120.34</v>
    <v>141.4</v>
    <v>152.5</v>
    <v>169.66</v>
    <v>154.33000000000001</v>
  </a>
  <a r="1" c="61">
    <v>53.98</v>
    <v>55.29</v>
    <v>54.11</v>
    <v>57.03</v>
    <v>56.31</v>
    <v>52.47</v>
    <v>56.37</v>
    <v>52.45</v>
    <v>59.21</v>
    <v>61.01</v>
    <v>62.24</v>
    <v>62</v>
    <v>64.61</v>
    <v>63.38</v>
    <v>62.91</v>
    <v>64.17</v>
    <v>61.71</v>
    <v>56.02</v>
    <v>59.85</v>
    <v>63.61</v>
    <v>63.61</v>
    <v>61.32</v>
    <v>59.51</v>
    <v>62.03</v>
    <v>64.150000000000006</v>
    <v>59.66</v>
    <v>60.22</v>
    <v>61.93</v>
    <v>59.83</v>
    <v>55.98</v>
    <v>56.49</v>
    <v>58.44</v>
    <v>58.93</v>
    <v>59.49</v>
    <v>60.02</v>
    <v>61.18</v>
    <v>61.77</v>
    <v>62.93</v>
    <v>63.65</v>
    <v>66.739999999999995</v>
    <v>72.47</v>
    <v>71.86</v>
    <v>65.31</v>
    <v>64.08</v>
    <v>62.26</v>
    <v>63.48</v>
    <v>71.209999999999994</v>
    <v>71.62</v>
    <v>72.55</v>
    <v>72.099999999999994</v>
    <v>70.75</v>
    <v>67.89</v>
    <v>68.989999999999995</v>
    <v>66.319999999999993</v>
    <v>68.900000000000006</v>
    <v>73.12</v>
    <v>69.91</v>
    <v>74.81</v>
    <v>81.56</v>
    <v>76.05</v>
    <v>78.760000000000005</v>
  </a>
  <a r="1" c="61">
    <v>153.81</v>
    <v>164.24</v>
    <v>155.54</v>
    <v>151.78</v>
    <v>159.94999999999999</v>
    <v>163.69</v>
    <v>169.89</v>
    <v>158.83000000000001</v>
    <v>158.35</v>
    <v>148.6</v>
    <v>141.80000000000001</v>
    <v>136.32</v>
    <v>119.36</v>
    <v>132.22999999999999</v>
    <v>112.61</v>
    <v>115.36</v>
    <v>113.73</v>
    <v>104.5</v>
    <v>125.88</v>
    <v>138.18</v>
    <v>134.1</v>
    <v>139.96</v>
    <v>143.35</v>
    <v>130.31</v>
    <v>138.24</v>
    <v>135.71</v>
    <v>145.44</v>
    <v>157.96</v>
    <v>146.33000000000001</v>
    <v>145.02000000000001</v>
    <v>139.06</v>
    <v>156.08000000000001</v>
    <v>170.1</v>
    <v>174.36</v>
    <v>186.06</v>
    <v>200.3</v>
    <v>191.74</v>
    <v>202.63</v>
    <v>202.26</v>
    <v>212.8</v>
    <v>224.8</v>
    <v>210.86</v>
    <v>221.92</v>
    <v>249.72</v>
    <v>239.71</v>
    <v>267.3</v>
    <v>264.64999999999998</v>
    <v>245.3</v>
    <v>244.62</v>
    <v>264</v>
    <v>289.91000000000003</v>
    <v>296.24</v>
    <v>301.42</v>
    <v>315.43</v>
    <v>311.12</v>
    <v>313.08</v>
    <v>322.22000000000003</v>
    <v>305.89</v>
    <v>300.3</v>
    <v>294.16000000000003</v>
    <v>313.23</v>
  </a>
  <a r="1" c="61">
    <v>418.88</v>
    <v>421.65</v>
    <v>429.92</v>
    <v>440.4</v>
    <v>453.71</v>
    <v>430.82</v>
    <v>460.99</v>
    <v>457.63</v>
    <v>476.99</v>
    <v>451.77</v>
    <v>438.72</v>
    <v>453.69</v>
    <v>413.56</v>
    <v>414.87</v>
    <v>379.15</v>
    <v>414.28</v>
    <v>397.18</v>
    <v>358.65</v>
    <v>387.79</v>
    <v>409.32</v>
    <v>384.21</v>
    <v>408.31</v>
    <v>397.97</v>
    <v>411.08</v>
    <v>417.66</v>
    <v>419.43</v>
    <v>445.71</v>
    <v>460.18</v>
    <v>452.69</v>
    <v>429.43</v>
    <v>419.94</v>
    <v>458.42</v>
    <v>477.63</v>
    <v>485.2</v>
    <v>510.45</v>
    <v>525.73</v>
    <v>504.44</v>
    <v>529.96</v>
    <v>547.23</v>
    <v>553.32000000000005</v>
    <v>566.75</v>
    <v>576.82000000000005</v>
    <v>571.24</v>
    <v>605.07000000000005</v>
    <v>588.67999999999995</v>
    <v>604.66</v>
    <v>597.04</v>
    <v>561.9</v>
    <v>557.96</v>
    <v>592.15</v>
    <v>620.9</v>
    <v>634.9</v>
    <v>648.32000000000005</v>
    <v>669.3</v>
    <v>685.23</v>
    <v>686.88</v>
    <v>684.94</v>
    <v>695.03</v>
    <v>689.38</v>
    <v>653.21</v>
    <v>722.07</v>
  </a>
  <a r="1" c="61">
    <v>114.49</v>
    <v>113.88</v>
    <v>111.81</v>
    <v>121.43</v>
    <v>117.49</v>
    <v>110.31</v>
    <v>106.07</v>
    <v>109.64</v>
    <v>116.97</v>
    <v>98.32</v>
    <v>91.79</v>
    <v>90.97</v>
    <v>74.64</v>
    <v>78.5</v>
    <v>76.39</v>
    <v>84.78</v>
    <v>84.07</v>
    <v>84.26</v>
    <v>86.59</v>
    <v>102.2</v>
    <v>99.2</v>
    <v>109.14</v>
    <v>102.09</v>
    <v>104.13</v>
    <v>114.29</v>
    <v>97.64</v>
    <v>99.06</v>
    <v>101.57</v>
    <v>97.44</v>
    <v>91.27</v>
    <v>92.24</v>
    <v>99.3</v>
    <v>96.01</v>
    <v>93.03</v>
    <v>94.9</v>
    <v>91.39</v>
    <v>88.49</v>
    <v>80.22</v>
    <v>77.849999999999994</v>
    <v>77.95</v>
    <v>94.57</v>
    <v>97.49</v>
    <v>97.7</v>
    <v>102.46</v>
    <v>91.25</v>
    <v>107.68</v>
    <v>115.81</v>
    <v>98.09</v>
    <v>80.05</v>
    <v>83.95</v>
    <v>91.63</v>
    <v>89.16</v>
    <v>88.19</v>
    <v>84.6</v>
    <v>80.87</v>
    <v>87.11</v>
    <v>84.21</v>
    <v>91.95</v>
    <v>98.02</v>
    <v>89.59</v>
    <v>105.33</v>
  </a>
</arrayData>
</file>

<file path=xl/richData/rdrichvalue.xml><?xml version="1.0" encoding="utf-8"?>
<rvData xmlns="http://schemas.microsoft.com/office/spreadsheetml/2017/richdata" count="554">
  <rv s="0">
    <fb>114.49</fb>
    <v>0</v>
  </rv>
  <rv s="0">
    <fb>153.81</fb>
    <v>0</v>
  </rv>
  <rv s="0">
    <fb>53.98</fb>
    <v>0</v>
  </rv>
  <rv s="0">
    <fb>137.24</fb>
    <v>0</v>
  </rv>
  <rv s="0">
    <fb>323.67</fb>
    <v>0</v>
  </rv>
  <rv s="0">
    <fb>62.78</fb>
    <v>0</v>
  </rv>
  <rv s="0">
    <fb>182.77</fb>
    <v>0</v>
  </rv>
  <rv s="0">
    <fb>57.24</fb>
    <v>0</v>
  </rv>
  <rv s="0">
    <fb>418.88</fb>
    <v>0</v>
  </rv>
  <rv s="0">
    <fb>113.88</fb>
    <v>0</v>
  </rv>
  <rv s="0">
    <fb>164.24</fb>
    <v>0</v>
  </rv>
  <rv s="0">
    <fb>55.29</fb>
    <v>0</v>
  </rv>
  <rv s="0">
    <fb>142.24</fb>
    <v>0</v>
  </rv>
  <rv s="0">
    <fb>318.91000000000003</fb>
    <v>0</v>
  </rv>
  <rv s="0">
    <fb>61.46</fb>
    <v>0</v>
  </rv>
  <rv s="0">
    <fb>199.74</fb>
    <v>0</v>
  </rv>
  <rv s="0">
    <fb>58.37</fb>
    <v>0</v>
  </rv>
  <rv s="0">
    <fb>421.65</fb>
    <v>0</v>
  </rv>
  <rv s="0">
    <fb>111.81</fb>
    <v>0</v>
  </rv>
  <rv s="0">
    <fb>155.54</fb>
    <v>0</v>
  </rv>
  <rv s="0">
    <fb>54.11</fb>
    <v>0</v>
  </rv>
  <rv s="0">
    <fb>144.63999999999999</fb>
    <v>0</v>
  </rv>
  <rv s="0">
    <fb>318.89</fb>
    <v>0</v>
  </rv>
  <rv s="0">
    <fb>53.09</fb>
    <v>0</v>
  </rv>
  <rv s="0">
    <fb>229.52</fb>
    <v>0</v>
  </rv>
  <rv s="0">
    <fb>63.08</fb>
    <v>0</v>
  </rv>
  <rv s="0">
    <fb>429.92</fb>
    <v>0</v>
  </rv>
  <rv s="0">
    <fb>121.43</fb>
    <v>0</v>
  </rv>
  <rv s="0">
    <fb>151.78</fb>
    <v>0</v>
  </rv>
  <rv s="0">
    <fb>57.03</fb>
    <v>0</v>
  </rv>
  <rv s="0">
    <fb>157.19999999999999</fb>
    <v>0</v>
  </rv>
  <rv s="0">
    <fb>328.19</fb>
    <v>0</v>
  </rv>
  <rv s="0">
    <fb>50.52</fb>
    <v>0</v>
  </rv>
  <rv s="0">
    <fb>243.5</fb>
    <v>0</v>
  </rv>
  <rv s="0">
    <fb>57.57</fb>
    <v>0</v>
  </rv>
  <rv s="0">
    <fb>440.4</fb>
    <v>0</v>
  </rv>
  <rv s="0">
    <fb>117.49</fb>
    <v>0</v>
  </rv>
  <rv s="0">
    <fb>159.94999999999999</fb>
    <v>0</v>
  </rv>
  <rv s="0">
    <fb>56.31</fb>
    <v>0</v>
  </rv>
  <rv s="0">
    <fb>174.43</fb>
    <v>0</v>
  </rv>
  <rv s="0">
    <fb>326.18</fb>
    <v>0</v>
  </rv>
  <rv s="0">
    <fb>49.78</fb>
    <v>0</v>
  </rv>
  <rv s="0">
    <fb>258.29000000000002</fb>
    <v>0</v>
  </rv>
  <rv s="0">
    <fb>54.52</fb>
    <v>0</v>
  </rv>
  <rv s="0">
    <fb>453.71</fb>
    <v>0</v>
  </rv>
  <rv s="0">
    <fb>110.31</fb>
    <v>0</v>
  </rv>
  <rv s="0">
    <fb>163.69</fb>
    <v>0</v>
  </rv>
  <rv s="0">
    <fb>52.47</fb>
    <v>0</v>
  </rv>
  <rv s="0">
    <fb>155.46</fb>
    <v>0</v>
  </rv>
  <rv s="0">
    <fb>328.26</fb>
    <v>0</v>
  </rv>
  <rv s="0">
    <fb>51.43</fb>
    <v>0</v>
  </rv>
  <rv s="0">
    <fb>231.05</fb>
    <v>0</v>
  </rv>
  <rv s="0">
    <fb>58.82</fb>
    <v>0</v>
  </rv>
  <rv s="0">
    <fb>430.82</fb>
    <v>0</v>
  </rv>
  <rv s="0">
    <fb>106.07</fb>
    <v>0</v>
  </rv>
  <rv s="0">
    <fb>169.89</fb>
    <v>0</v>
  </rv>
  <rv s="0">
    <fb>56.37</fb>
    <v>0</v>
  </rv>
  <rv s="0">
    <fb>143.6</fb>
    <v>0</v>
  </rv>
  <rv s="0">
    <fb>371.74</fb>
    <v>0</v>
  </rv>
  <rv s="0">
    <fb>47.28</fb>
    <v>0</v>
  </rv>
  <rv s="0">
    <fb>254.76</fb>
    <v>0</v>
  </rv>
  <rv s="0">
    <fb>64.47</fb>
    <v>0</v>
  </rv>
  <rv s="0">
    <fb>460.99</fb>
    <v>0</v>
  </rv>
  <rv s="0">
    <fb>109.64</fb>
    <v>0</v>
  </rv>
  <rv s="0">
    <fb>158.83000000000001</fb>
    <v>0</v>
  </rv>
  <rv s="0">
    <fb>52.45</fb>
    <v>0</v>
  </rv>
  <rv s="0">
    <fb>133.54</fb>
    <v>0</v>
  </rv>
  <rv s="0">
    <fb>400.61</fb>
    <v>0</v>
  </rv>
  <rv s="0">
    <fb>44.4</fb>
    <v>0</v>
  </rv>
  <rv s="0">
    <fb>248.04</fb>
    <v>0</v>
  </rv>
  <rv s="0">
    <fb>59.84</fb>
    <v>0</v>
  </rv>
  <rv s="0">
    <fb>457.63</fb>
    <v>0</v>
  </rv>
  <rv s="0">
    <fb>116.97</fb>
    <v>0</v>
  </rv>
  <rv s="0">
    <fb>158.35</fb>
    <v>0</v>
  </rv>
  <rv s="0">
    <fb>59.21</fb>
    <v>0</v>
  </rv>
  <rv s="0">
    <fb>136.16999999999999</fb>
    <v>0</v>
  </rv>
  <rv s="0">
    <fb>415.01</fb>
    <v>0</v>
  </rv>
  <rv s="0">
    <fb>42.84</fb>
    <v>0</v>
  </rv>
  <rv s="0">
    <fb>276.22000000000003</fb>
    <v>0</v>
  </rv>
  <rv s="0">
    <fb>61.19</fb>
    <v>0</v>
  </rv>
  <rv s="0">
    <fb>476.99</fb>
    <v>0</v>
  </rv>
  <rv s="0">
    <fb>98.32</fb>
    <v>0</v>
  </rv>
  <rv s="0">
    <fb>148.6</fb>
    <v>0</v>
  </rv>
  <rv s="0">
    <fb>61.01</fb>
    <v>0</v>
  </rv>
  <rv s="0">
    <fb>124.42</fb>
    <v>0</v>
  </rv>
  <rv s="0">
    <fb>366.98</fb>
    <v>0</v>
  </rv>
  <rv s="0">
    <fb>44.76</fb>
    <v>0</v>
  </rv>
  <rv s="0">
    <fb>245.39</fb>
    <v>0</v>
  </rv>
  <rv s="0">
    <fb>75.959999999999994</fb>
    <v>0</v>
  </rv>
  <rv s="0">
    <fb>451.77</fb>
    <v>0</v>
  </rv>
  <rv s="0">
    <fb>91.79</fb>
    <v>0</v>
  </rv>
  <rv s="0">
    <fb>141.80000000000001</fb>
    <v>0</v>
  </rv>
  <rv s="0">
    <fb>62.24</fb>
    <v>0</v>
  </rv>
  <rv s="0">
    <fb>110.44</fb>
    <v>0</v>
  </rv>
  <rv s="0">
    <fb>315.83</fb>
    <v>0</v>
  </rv>
  <rv s="0">
    <fb>43.8</fb>
    <v>0</v>
  </rv>
  <rv s="0">
    <fb>249.95</fb>
    <v>0</v>
  </rv>
  <rv s="0">
    <fb>78.42</fb>
    <v>0</v>
  </rv>
  <rv s="0">
    <fb>438.72</fb>
    <v>0</v>
  </rv>
  <rv s="0">
    <fb>90.97</fb>
    <v>0</v>
  </rv>
  <rv s="0">
    <fb>136.32</fb>
    <v>0</v>
  </rv>
  <rv s="0">
    <fb>62</fb>
    <v>0</v>
  </rv>
  <rv s="0">
    <fb>118.61</fb>
    <v>0</v>
  </rv>
  <rv s="0">
    <fb>299.33</fb>
    <v>0</v>
  </rv>
  <rv s="0">
    <fb>45.8</fb>
    <v>0</v>
  </rv>
  <rv s="0">
    <fb>286.37</fb>
    <v>0</v>
  </rv>
  <rv s="0">
    <fb>82.59</fb>
    <v>0</v>
  </rv>
  <rv s="0">
    <fb>453.69</fb>
    <v>0</v>
  </rv>
  <rv s="0">
    <fb>74.64</fb>
    <v>0</v>
  </rv>
  <rv s="0">
    <fb>119.36</fb>
    <v>0</v>
  </rv>
  <rv s="0">
    <fb>64.61</fb>
    <v>0</v>
  </rv>
  <rv s="0">
    <fb>109.74</fb>
    <v>0</v>
  </rv>
  <rv s="0">
    <fb>300.39999999999998</fb>
    <v>0</v>
  </rv>
  <rv s="0">
    <fb>46.72</fb>
    <v>0</v>
  </rv>
  <rv s="0">
    <fb>292.13</fb>
    <v>0</v>
  </rv>
  <rv s="0">
    <fb>85.25</fb>
    <v>0</v>
  </rv>
  <rv s="0">
    <fb>413.56</fb>
    <v>0</v>
  </rv>
  <rv s="0">
    <fb>78.5</fb>
    <v>0</v>
  </rv>
  <rv s="0">
    <fb>132.22999999999999</fb>
    <v>0</v>
  </rv>
  <rv s="0">
    <fb>63.38</fb>
    <v>0</v>
  </rv>
  <rv s="0">
    <fb>105.62</fb>
    <v>0</v>
  </rv>
  <rv s="0">
    <fb>302.75</fb>
    <v>0</v>
  </rv>
  <rv s="0">
    <fb>45.86</fb>
    <v>0</v>
  </rv>
  <rv s="0">
    <fb>313.44</fb>
    <v>0</v>
  </rv>
  <rv s="0">
    <fb>96</fb>
    <v>0</v>
  </rv>
  <rv s="0">
    <fb>414.87</fb>
    <v>0</v>
  </rv>
  <rv s="0">
    <fb>76.39</fb>
    <v>0</v>
  </rv>
  <rv s="0">
    <fb>112.61</fb>
    <v>0</v>
  </rv>
  <rv s="0">
    <fb>62.91</fb>
    <v>0</v>
  </rv>
  <rv s="0">
    <fb>98.25</fb>
    <v>0</v>
  </rv>
  <rv s="0">
    <fb>274.27</fb>
    <v>0</v>
  </rv>
  <rv s="0">
    <fb>36.119999999999997</fb>
    <v>0</v>
  </rv>
  <rv s="0">
    <fb>324.23</fb>
    <v>0</v>
  </rv>
  <rv s="0">
    <fb>85.64</fb>
    <v>0</v>
  </rv>
  <rv s="0">
    <fb>379.15</fb>
    <v>0</v>
  </rv>
  <rv s="0">
    <fb>84.78</fb>
    <v>0</v>
  </rv>
  <rv s="0">
    <fb>115.36</fb>
    <v>0</v>
  </rv>
  <rv s="0">
    <fb>64.17</fb>
    <v>0</v>
  </rv>
  <rv s="0">
    <fb>97.62</fb>
    <v>0</v>
  </rv>
  <rv s="0">
    <fb>300.94</fb>
    <v>0</v>
  </rv>
  <rv s="0">
    <fb>38.119999999999997</fb>
    <v>0</v>
  </rv>
  <rv s="0">
    <fb>329.69</fb>
    <v>0</v>
  </rv>
  <rv s="0">
    <fb>96.93</fb>
    <v>0</v>
  </rv>
  <rv s="0">
    <fb>414.28</fb>
    <v>0</v>
  </rv>
  <rv s="0">
    <fb>84.07</fb>
    <v>0</v>
  </rv>
  <rv s="0">
    <fb>113.73</fb>
    <v>0</v>
  </rv>
  <rv s="0">
    <fb>61.71</fb>
    <v>0</v>
  </rv>
  <rv s="0">
    <fb>88.49</fb>
    <v>0</v>
  </rv>
  <rv s="0">
    <fb>288.42</fb>
    <v>0</v>
  </rv>
  <rv s="0">
    <fb>36.700000000000003</fb>
    <v>0</v>
  </rv>
  <rv s="0">
    <fb>301.23</fb>
    <v>0</v>
  </rv>
  <rv s="0">
    <fb>95.59</fb>
    <v>0</v>
  </rv>
  <rv s="0">
    <fb>397.18</fb>
    <v>0</v>
  </rv>
  <rv s="0">
    <fb>84.26</fb>
    <v>0</v>
  </rv>
  <rv s="0">
    <fb>104.5</fb>
    <v>0</v>
  </rv>
  <rv s="0">
    <fb>56.02</fb>
    <v>0</v>
  </rv>
  <rv s="0">
    <fb>80.31</fb>
    <v>0</v>
  </rv>
  <rv s="0">
    <fb>275.94</fb>
    <v>0</v>
  </rv>
  <rv s="0">
    <fb>30.84</fb>
    <v>0</v>
  </rv>
  <rv s="0">
    <fb>323.35000000000002</fb>
    <v>0</v>
  </rv>
  <rv s="0">
    <fb>87.31</fb>
    <v>0</v>
  </rv>
  <rv s="0">
    <fb>358.65</fb>
    <v>0</v>
  </rv>
  <rv s="0">
    <fb>86.59</fb>
    <v>0</v>
  </rv>
  <rv s="0">
    <fb>125.88</fb>
    <v>0</v>
  </rv>
  <rv s="0">
    <fb>59.85</fb>
    <v>0</v>
  </rv>
  <rv s="0">
    <fb>88.04</fb>
    <v>0</v>
  </rv>
  <rv s="0">
    <fb>296.13</fb>
    <v>0</v>
  </rv>
  <rv s="0">
    <fb>36.35</fb>
    <v>0</v>
  </rv>
  <rv s="0">
    <fb>362.09</fb>
    <v>0</v>
  </rv>
  <rv s="0">
    <fb>110.81</fb>
    <v>0</v>
  </rv>
  <rv s="0">
    <fb>387.79</fb>
    <v>0</v>
  </rv>
  <rv s="0">
    <fb>102.2</fb>
    <v>0</v>
  </rv>
  <rv s="0">
    <fb>138.18</fb>
    <v>0</v>
  </rv>
  <rv s="0">
    <fb>63.61</fb>
    <v>0</v>
  </rv>
  <rv s="0">
    <fb>92.99</fb>
    <v>0</v>
  </rv>
  <rv s="0">
    <fb>323.99</fb>
    <v>0</v>
  </rv>
  <rv s="0">
    <fb>39.909999999999997</fb>
    <v>0</v>
  </rv>
  <rv s="0">
    <fb>371.08</fb>
    <v>0</v>
  </rv>
  <rv s="0">
    <fb>111.34</fb>
    <v>0</v>
  </rv>
  <rv s="0">
    <fb>409.32</fb>
    <v>0</v>
  </rv>
  <rv s="0">
    <fb>99.2</fb>
    <v>0</v>
  </rv>
  <rv s="0">
    <fb>134.1</fb>
    <v>0</v>
  </rv>
  <rv s="0">
    <fb>92.29</fb>
    <v>0</v>
  </rv>
  <rv s="0">
    <fb>315.86</fb>
    <v>0</v>
  </rv>
  <rv s="0">
    <fb>33.67</fb>
    <v>0</v>
  </rv>
  <rv s="0">
    <fb>365.84</fb>
    <v>0</v>
  </rv>
  <rv s="0">
    <fb>110.3</fb>
    <v>0</v>
  </rv>
  <rv s="0">
    <fb>384.21</fb>
    <v>0</v>
  </rv>
  <rv s="0">
    <fb>109.14</fb>
    <v>0</v>
  </rv>
  <rv s="0">
    <fb>139.96</fb>
    <v>0</v>
  </rv>
  <rv s="0">
    <fb>61.32</fb>
    <v>0</v>
  </rv>
  <rv s="0">
    <fb>98.88</fb>
    <v>0</v>
  </rv>
  <rv s="0">
    <fb>324.17</fb>
    <v>0</v>
  </rv>
  <rv s="0">
    <fb>35.770000000000003</fb>
    <v>0</v>
  </rv>
  <rv s="0">
    <fb>344.15</fb>
    <v>0</v>
  </rv>
  <rv s="0">
    <fb>116.01</fb>
    <v>0</v>
  </rv>
  <rv s="0">
    <fb>408.31</fb>
    <v>0</v>
  </rv>
  <rv s="0">
    <fb>102.09</fb>
    <v>0</v>
  </rv>
  <rv s="0">
    <fb>143.35</fb>
    <v>0</v>
  </rv>
  <rv s="0">
    <fb>59.51</fb>
    <v>0</v>
  </rv>
  <rv s="0">
    <fb>98.13</fb>
    <v>0</v>
  </rv>
  <rv s="0">
    <fb>296.54000000000002</fb>
    <v>0</v>
  </rv>
  <rv s="0">
    <fb>33.58</fb>
    <v>0</v>
  </rv>
  <rv s="0">
    <fb>311.22000000000003</fb>
    <v>0</v>
  </rv>
  <rv s="0">
    <fb>109.91</fb>
    <v>0</v>
  </rv>
  <rv s="0">
    <fb>397.97</fb>
    <v>0</v>
  </rv>
  <rv s="0">
    <fb>104.13</fb>
    <v>0</v>
  </rv>
  <rv s="0">
    <fb>130.31</fb>
    <v>0</v>
  </rv>
  <rv s="0">
    <fb>62.03</fb>
    <v>0</v>
  </rv>
  <rv s="0">
    <fb>100.92</fb>
    <v>0</v>
  </rv>
  <rv s="0">
    <fb>295.12</fb>
    <v>0</v>
  </rv>
  <rv s="0">
    <fb>32.54</fb>
    <v>0</v>
  </rv>
  <rv s="0">
    <fb>343.42</fb>
    <v>0</v>
  </rv>
  <rv s="0">
    <fb>109.66</fb>
    <v>0</v>
  </rv>
  <rv s="0">
    <fb>411.08</fb>
    <v>0</v>
  </rv>
  <rv s="0">
    <fb>114.29</fb>
    <v>0</v>
  </rv>
  <rv s="0">
    <fb>138.24</fb>
    <v>0</v>
  </rv>
  <rv s="0">
    <fb>64.150000000000006</fb>
    <v>0</v>
  </rv>
  <rv s="0">
    <fb>98.17</fb>
    <v>0</v>
  </rv>
  <rv s="0">
    <fb>300.54000000000002</fb>
    <v>0</v>
  </rv>
  <rv s="0">
    <fb>30.29</fb>
    <v>0</v>
  </rv>
  <rv s="0">
    <fb>395.86</fb>
    <v>0</v>
  </rv>
  <rv s="0">
    <fb>118.34</fb>
    <v>0</v>
  </rv>
  <rv s="0">
    <fb>417.66</fb>
    <v>0</v>
  </rv>
  <rv s="0">
    <fb>97.64</fb>
    <v>0</v>
  </rv>
  <rv s="0">
    <fb>135.71</fb>
    <v>0</v>
  </rv>
  <rv s="0">
    <fb>59.66</fb>
    <v>0</v>
  </rv>
  <rv s="0">
    <fb>103.15</fb>
    <v>0</v>
  </rv>
  <rv s="0">
    <fb>283.45</fb>
    <v>0</v>
  </rv>
  <rv s="0">
    <fb>29.87</fb>
    <v>0</v>
  </rv>
  <rv s="0">
    <fb>429.46</fb>
    <v>0</v>
  </rv>
  <rv s="0">
    <fb>102.18</fb>
    <v>0</v>
  </rv>
  <rv s="0">
    <fb>419.43</fb>
    <v>0</v>
  </rv>
  <rv s="0">
    <fb>99.06</fb>
    <v>0</v>
  </rv>
  <rv s="0">
    <fb>145.44</fb>
    <v>0</v>
  </rv>
  <rv s="0">
    <fb>60.22</fb>
    <v>0</v>
  </rv>
  <rv s="0">
    <fb>104.29</fb>
    <v>0</v>
  </rv>
  <rv s="0">
    <fb>310.64</fb>
    <v>0</v>
  </rv>
  <rv s="0">
    <fb>36.21</fb>
    <v>0</v>
  </rv>
  <rv s="0">
    <fb>468.98</fb>
    <v>0</v>
  </rv>
  <rv s="0">
    <fb>107.25</fb>
    <v>0</v>
  </rv>
  <rv s="0">
    <fb>445.71</fb>
    <v>0</v>
  </rv>
  <rv s="0">
    <fb>101.57</fb>
    <v>0</v>
  </rv>
  <rv s="0">
    <fb>157.96</fb>
    <v>0</v>
  </rv>
  <rv s="0">
    <fb>61.93</fb>
    <v>0</v>
  </rv>
  <rv s="0">
    <fb>105.89</fb>
    <v>0</v>
  </rv>
  <rv s="0">
    <fb>333.84</fb>
    <v>0</v>
  </rv>
  <rv s="0">
    <fb>34.159999999999997</fb>
    <v>0</v>
  </rv>
  <rv s="0">
    <fb>454.55</fb>
    <v>0</v>
  </rv>
  <rv s="0">
    <fb>107.24</fb>
    <v>0</v>
  </rv>
  <rv s="0">
    <fb>460.18</fb>
    <v>0</v>
  </rv>
  <rv s="0">
    <fb>97.44</fb>
    <v>0</v>
  </rv>
  <rv s="0">
    <fb>146.33000000000001</fb>
    <v>0</v>
  </rv>
  <rv s="0">
    <fb>59.83</fb>
    <v>0</v>
  </rv>
  <rv s="0">
    <fb>106.02</fb>
    <v>0</v>
  </rv>
  <rv s="0">
    <fb>330.3</fb>
    <v>0</v>
  </rv>
  <rv s="0">
    <fb>31.6</fb>
    <v>0</v>
  </rv>
  <rv s="0">
    <fb>554.20000000000005</fb>
    <v>0</v>
  </rv>
  <rv s="0">
    <fb>111.19</fb>
    <v>0</v>
  </rv>
  <rv s="0">
    <fb>452.69</fb>
    <v>0</v>
  </rv>
  <rv s="0">
    <fb>91.27</fb>
    <v>0</v>
  </rv>
  <rv s="0">
    <fb>145.02000000000001</fb>
    <v>0</v>
  </rv>
  <rv s="0">
    <fb>55.98</fb>
    <v>0</v>
  </rv>
  <rv s="0">
    <fb>105.2</fb>
    <v>0</v>
  </rv>
  <rv s="0">
    <fb>302.16000000000003</fb>
    <v>0</v>
  </rv>
  <rv s="0">
    <fb>27.07</fb>
    <v>0</v>
  </rv>
  <rv s="0">
    <fb>537.13</fb>
    <v>0</v>
  </rv>
  <rv s="0">
    <fb>117.58</fb>
    <v>0</v>
  </rv>
  <rv s="0">
    <fb>429.43</fb>
    <v>0</v>
  </rv>
  <rv s="0">
    <fb>92.24</fb>
    <v>0</v>
  </rv>
  <rv s="0">
    <fb>139.06</fb>
    <v>0</v>
  </rv>
  <rv s="0">
    <fb>56.49</fb>
    <v>0</v>
  </rv>
  <rv s="0">
    <fb>102.53</fb>
    <v>0</v>
  </rv>
  <rv s="0">
    <fb>284.69</fb>
    <v>0</v>
  </rv>
  <rv s="0">
    <fb>22.23</fb>
    <v>0</v>
  </rv>
  <rv s="0">
    <fb>553.92999999999995</fb>
    <v>0</v>
  </rv>
  <rv s="0">
    <fb>105.85</fb>
    <v>0</v>
  </rv>
  <rv s="0">
    <fb>419.94</fb>
    <v>0</v>
  </rv>
  <rv s="0">
    <fb>99.3</fb>
    <v>0</v>
  </rv>
  <rv s="0">
    <fb>156.08000000000001</fb>
    <v>0</v>
  </rv>
  <rv s="0">
    <fb>58.44</fb>
    <v>0</v>
  </rv>
  <rv s="0">
    <fb>122.24</fb>
    <v>0</v>
  </rv>
  <rv s="0">
    <fb>313.49</fb>
    <v>0</v>
  </rv>
  <rv s="0">
    <fb>25.57</fb>
    <v>0</v>
  </rv>
  <rv s="0">
    <fb>591.04</fb>
    <v>0</v>
  </rv>
  <rv s="0">
    <fb>102.74</fb>
    <v>0</v>
  </rv>
  <rv s="0">
    <fb>458.42</fb>
    <v>0</v>
  </rv>
  <rv s="0">
    <fb>96.01</fb>
    <v>0</v>
  </rv>
  <rv s="0">
    <fb>170.1</fb>
    <v>0</v>
  </rv>
  <rv s="0">
    <fb>58.93</fb>
    <v>0</v>
  </rv>
  <rv s="0">
    <fb>128.54</fb>
    <v>0</v>
  </rv>
  <rv s="0">
    <fb>346.55</fb>
    <v>0</v>
  </rv>
  <rv s="0">
    <fb>28.88</fb>
    <v>0</v>
  </rv>
  <rv s="0">
    <fb>582.91999999999996</fb>
    <v>0</v>
  </rv>
  <rv s="0">
    <fb>99.98</fb>
    <v>0</v>
  </rv>
  <rv s="0">
    <fb>477.63</fb>
    <v>0</v>
  </rv>
  <rv s="0">
    <fb>93.03</fb>
    <v>0</v>
  </rv>
  <rv s="0">
    <fb>174.36</fb>
    <v>0</v>
  </rv>
  <rv s="0">
    <fb>59.49</fb>
    <v>0</v>
  </rv>
  <rv s="0">
    <fb>119.49</fb>
    <v>0</v>
  </rv>
  <rv s="0">
    <fb>352.96</fb>
    <v>0</v>
  </rv>
  <rv s="0">
    <fb>29.89</fb>
    <v>0</v>
  </rv>
  <rv s="0">
    <fb>645.61</fb>
    <v>0</v>
  </rv>
  <rv s="0">
    <fb>102.81</fb>
    <v>0</v>
  </rv>
  <rv s="0">
    <fb>485.2</fb>
    <v>0</v>
  </rv>
  <rv s="0">
    <fb>94.9</fb>
    <v>0</v>
  </rv>
  <rv s="0">
    <fb>186.06</fb>
    <v>0</v>
  </rv>
  <rv s="0">
    <fb>60.02</fb>
    <v>0</v>
  </rv>
  <rv s="0">
    <fb>137.35</fb>
    <v>0</v>
  </rv>
  <rv s="0">
    <fb>380.61</fb>
    <v>0</v>
  </rv>
  <rv s="0">
    <fb>34.270000000000003</fb>
    <v>0</v>
  </rv>
  <rv s="0">
    <fb>753.68</fb>
    <v>0</v>
  </rv>
  <rv s="0">
    <fb>104.52</fb>
    <v>0</v>
  </rv>
  <rv s="0">
    <fb>510.45</fb>
    <v>0</v>
  </rv>
  <rv s="0">
    <fb>91.39</fb>
    <v>0</v>
  </rv>
  <rv s="0">
    <fb>200.3</fb>
    <v>0</v>
  </rv>
  <rv s="0">
    <fb>61.18</fb>
    <v>0</v>
  </rv>
  <rv s="0">
    <fb>148.87</fb>
    <v>0</v>
  </rv>
  <rv s="0">
    <fb>383.6</fb>
    <v>0</v>
  </rv>
  <rv s="0">
    <fb>29.19</fb>
    <v>0</v>
  </rv>
  <rv s="0">
    <fb>777.96</fb>
    <v>0</v>
  </rv>
  <rv s="0">
    <fb>116.24</fb>
    <v>0</v>
  </rv>
  <rv s="0">
    <fb>525.73</fb>
    <v>0</v>
  </rv>
  <rv s="0">
    <fb>191.74</fb>
    <v>0</v>
  </rv>
  <rv s="0">
    <fb>61.77</fb>
    <v>0</v>
  </rv>
  <rv s="0">
    <fb>144.47</fb>
    <v>0</v>
  </rv>
  <rv s="0">
    <fb>334.22</fb>
    <v>0</v>
  </rv>
  <rv s="0">
    <fb>25.94</fb>
    <v>0</v>
  </rv>
  <rv s="0">
    <fb>781.1</fb>
    <v>0</v>
  </rv>
  <rv s="0">
    <fb>118.27</fb>
    <v>0</v>
  </rv>
  <rv s="0">
    <fb>504.44</fb>
    <v>0</v>
  </rv>
  <rv s="0">
    <fb>80.22</fb>
    <v>0</v>
  </rv>
  <rv s="0">
    <fb>202.63</fb>
    <v>0</v>
  </rv>
  <rv s="0">
    <fb>62.93</fb>
    <v>0</v>
  </rv>
  <rv s="0">
    <fb>163.85</fb>
    <v>0</v>
  </rv>
  <rv s="0">
    <fb>334.87</fb>
    <v>0</v>
  </rv>
  <rv s="0">
    <fb>26.84</fb>
    <v>0</v>
  </rv>
  <rv s="0">
    <fb>820.34</fb>
    <v>0</v>
  </rv>
  <rv s="0">
    <fb>117.26</fb>
    <v>0</v>
  </rv>
  <rv s="0">
    <fb>529.96</fb>
    <v>0</v>
  </rv>
  <rv s="0">
    <fb>77.849999999999994</fb>
    <v>0</v>
  </rv>
  <rv s="0">
    <fb>202.26</fb>
    <v>0</v>
  </rv>
  <rv s="0">
    <fb>63.65</fb>
    <v>0</v>
  </rv>
  <rv s="0">
    <fb>162.91999999999999</fb>
    <v>0</v>
  </rv>
  <rv s="0">
    <fb>344.24</fb>
    <v>0</v>
  </rv>
  <rv s="0">
    <fb>28.61</fb>
    <v>0</v>
  </rv>
  <rv s="0">
    <fb>905.38</fb>
    <v>0</v>
  </rv>
  <rv s="0">
    <fb>115.12</fb>
    <v>0</v>
  </rv>
  <rv s="0">
    <fb>547.23</fb>
    <v>0</v>
  </rv>
  <rv s="0">
    <fb>77.95</fb>
    <v>0</v>
  </rv>
  <rv s="0">
    <fb>212.8</fb>
    <v>0</v>
  </rv>
  <rv s="0">
    <fb>66.739999999999995</fb>
    <v>0</v>
  </rv>
  <rv s="0">
    <fb>171.25</fb>
    <v>0</v>
  </rv>
  <rv s="0">
    <fb>368.16</fb>
    <v>0</v>
  </rv>
  <rv s="0">
    <fb>26.94</fb>
    <v>0</v>
  </rv>
  <rv s="0">
    <fb>804.27</fb>
    <v>0</v>
  </rv>
  <rv s="0">
    <fb>118.59</fb>
    <v>0</v>
  </rv>
  <rv s="0">
    <fb>553.32000000000005</fb>
    <v>0</v>
  </rv>
  <rv s="0">
    <fb>94.57</fb>
    <v>0</v>
  </rv>
  <rv s="0">
    <fb>224.8</fb>
    <v>0</v>
  </rv>
  <rv s="0">
    <fb>72.47</fb>
    <v>0</v>
  </rv>
  <rv s="0">
    <fb>183.29</fb>
    <v>0</v>
  </rv>
  <rv s="0">
    <fb>368.5</fb>
    <v>0</v>
  </rv>
  <rv s="0">
    <fb>28.92</fb>
    <v>0</v>
  </rv>
  <rv s="0">
    <fb>960.02</fb>
    <v>0</v>
  </rv>
  <rv s="0">
    <fb>117.94</fb>
    <v>0</v>
  </rv>
  <rv s="0">
    <fb>566.75</fb>
    <v>0</v>
  </rv>
  <rv s="0">
    <fb>97.49</fb>
    <v>0</v>
  </rv>
  <rv s="0">
    <fb>210.86</fb>
    <v>0</v>
  </rv>
  <rv s="0">
    <fb>71.86</fb>
    <v>0</v>
  </rv>
  <rv s="0">
    <fb>176.03</fb>
    <v>0</v>
  </rv>
  <rv s="0">
    <fb>405.2</fb>
    <v>0</v>
  </rv>
  <rv s="0">
    <fb>29.63</fb>
    <v>0</v>
  </rv>
  <rv s="0">
    <fb>885.94</fb>
    <v>0</v>
  </rv>
  <rv s="0">
    <fb>117.22</fb>
    <v>0</v>
  </rv>
  <rv s="0">
    <fb>576.82000000000005</fb>
    <v>0</v>
  </rv>
  <rv s="0">
    <fb>97.7</fb>
    <v>0</v>
  </rv>
  <rv s="0">
    <fb>221.92</fb>
    <v>0</v>
  </rv>
  <rv s="0">
    <fb>65.31</fb>
    <v>0</v>
  </rv>
  <rv s="0">
    <fb>198.35</fb>
    <v>0</v>
  </rv>
  <rv s="0">
    <fb>393.75</fb>
    <v>0</v>
  </rv>
  <rv s="0">
    <fb>30.58</fb>
    <v>0</v>
  </rv>
  <rv s="0">
    <fb>829.74</fb>
    <v>0</v>
  </rv>
  <rv s="0">
    <fb>116.78</fb>
    <v>0</v>
  </rv>
  <rv s="0">
    <fb>571.24</fb>
    <v>0</v>
  </rv>
  <rv s="0">
    <fb>102.46</fb>
    <v>0</v>
  </rv>
  <rv s="0">
    <fb>249.72</fb>
    <v>0</v>
  </rv>
  <rv s="0">
    <fb>64.08</fb>
    <v>0</v>
  </rv>
  <rv s="0">
    <fb>212.6</fb>
    <v>0</v>
  </rv>
  <rv s="0">
    <fb>429.13</fb>
    <v>0</v>
  </rv>
  <rv s="0">
    <fb>32.36</fb>
    <v>0</v>
  </rv>
  <rv s="0">
    <fb>795.35</fb>
    <v>0</v>
  </rv>
  <rv s="0">
    <fb>117.96</fb>
    <v>0</v>
  </rv>
  <rv s="0">
    <fb>605.07000000000005</fb>
    <v>0</v>
  </rv>
  <rv s="0">
    <fb>91.25</fb>
    <v>0</v>
  </rv>
  <rv s="0">
    <fb>239.71</fb>
    <v>0</v>
  </rv>
  <rv s="0">
    <fb>62.26</fb>
    <v>0</v>
  </rv>
  <rv s="0">
    <fb>206.26</fb>
    <v>0</v>
  </rv>
  <rv s="0">
    <fb>388.99</fb>
    <v>0</v>
  </rv>
  <rv s="0">
    <fb>33.619999999999997</fb>
    <v>0</v>
  </rv>
  <rv s="0">
    <fb>772</fb>
    <v>0</v>
  </rv>
  <rv s="0">
    <fb>107.57</fb>
    <v>0</v>
  </rv>
  <rv s="0">
    <fb>588.67999999999995</fb>
    <v>0</v>
  </rv>
  <rv s="0">
    <fb>107.68</fb>
    <v>0</v>
  </rv>
  <rv s="0">
    <fb>267.3</fb>
    <v>0</v>
  </rv>
  <rv s="0">
    <fb>63.48</fb>
    <v>0</v>
  </rv>
  <rv s="0">
    <fb>215.85</fb>
    <v>0</v>
  </rv>
  <rv s="0">
    <fb>411.98</fb>
    <v>0</v>
  </rv>
  <rv s="0">
    <fb>30.71</fb>
    <v>0</v>
  </rv>
  <rv s="0">
    <fb>811.08</fb>
    <v>0</v>
  </rv>
  <rv s="0">
    <fb>106.83</fb>
    <v>0</v>
  </rv>
  <rv s="0">
    <fb>604.66</fb>
    <v>0</v>
  </rv>
  <rv s="0">
    <fb>115.81</fb>
    <v>0</v>
  </rv>
  <rv s="0">
    <fb>264.64999999999998</fb>
    <v>0</v>
  </rv>
  <rv s="0">
    <fb>71.209999999999994</fb>
    <v>0</v>
  </rv>
  <rv s="0">
    <fb>228.93</fb>
    <v>0</v>
  </rv>
  <rv s="0">
    <fb>396.6</fb>
    <v>0</v>
  </rv>
  <rv s="0">
    <fb>31.06</fb>
    <v>0</v>
  </rv>
  <rv s="0">
    <fb>920.63</fb>
    <v>0</v>
  </rv>
  <rv s="0">
    <fb>111.33</fb>
    <v>0</v>
  </rv>
  <rv s="0">
    <fb>597.04</fb>
    <v>0</v>
  </rv>
  <rv s="0">
    <fb>98.09</fb>
    <v>0</v>
  </rv>
  <rv s="0">
    <fb>245.3</fb>
    <v>0</v>
  </rv>
  <rv s="0">
    <fb>71.62</fb>
    <v>0</v>
  </rv>
  <rv s="0">
    <fb>217.13</fb>
    <v>0</v>
  </rv>
  <rv s="0">
    <fb>366.49</fb>
    <v>0</v>
  </rv>
  <rv s="0">
    <fb>825.91</fb>
    <v>0</v>
  </rv>
  <rv s="0">
    <fb>118.93</fb>
    <v>0</v>
  </rv>
  <rv s="0">
    <fb>561.9</fb>
    <v>0</v>
  </rv>
  <rv s="0">
    <fb>80.05</fb>
    <v>0</v>
  </rv>
  <rv s="0">
    <fb>244.62</fb>
    <v>0</v>
  </rv>
  <rv s="0">
    <fb>72.55</fb>
    <v>0</v>
  </rv>
  <rv s="0">
    <fb>186.87</fb>
    <v>0</v>
  </rv>
  <rv s="0">
    <fb>360.49</fb>
    <v>0</v>
  </rv>
  <rv s="0">
    <fb>27.96</fb>
    <v>0</v>
  </rv>
  <rv s="0">
    <fb>898.95</fb>
    <v>0</v>
  </rv>
  <rv s="0">
    <fb>105.63</fb>
    <v>0</v>
  </rv>
  <rv s="0">
    <fb>557.96</fb>
    <v>0</v>
  </rv>
  <rv s="0">
    <fb>83.95</fb>
    <v>0</v>
  </rv>
  <rv s="0">
    <fb>264</fb>
    <v>0</v>
  </rv>
  <rv s="0">
    <fb>72.099999999999994</fb>
    <v>0</v>
  </rv>
  <rv s="0">
    <fb>202.97</fb>
    <v>0</v>
  </rv>
  <rv s="0">
    <fb>368.29</fb>
    <v>0</v>
  </rv>
  <rv s="0">
    <fb>33.380000000000003</fb>
    <v>0</v>
  </rv>
  <rv s="0">
    <fb>737.67</fb>
    <v>0</v>
  </rv>
  <rv s="0">
    <fb>102.3</fb>
    <v>0</v>
  </rv>
  <rv s="0">
    <fb>592.15</fb>
    <v>0</v>
  </rv>
  <rv s="0">
    <fb>91.63</fb>
    <v>0</v>
  </rv>
  <rv s="0">
    <fb>289.91000000000003</fb>
    <v>0</v>
  </rv>
  <rv s="0">
    <fb>70.75</fb>
    <v>0</v>
  </rv>
  <rv s="0">
    <fb>208.72</fb>
    <v>0</v>
  </rv>
  <rv s="0">
    <fb>366.64</fb>
    <v>0</v>
  </rv>
  <rv s="0">
    <fb>32.44</fb>
    <v>0</v>
  </rv>
  <rv s="0">
    <fb>779.53</fb>
    <v>0</v>
  </rv>
  <rv s="0">
    <fb>107.8</fb>
    <v>0</v>
  </rv>
  <rv s="0">
    <fb>620.9</fb>
    <v>0</v>
  </rv>
  <rv s="0">
    <fb>89.16</fb>
    <v>0</v>
  </rv>
  <rv s="0">
    <fb>296.24</fb>
    <v>0</v>
  </rv>
  <rv s="0">
    <fb>67.89</fb>
    <v>0</v>
  </rv>
  <rv s="0">
    <fb>218.76</fb>
    <v>0</v>
  </rv>
  <rv s="0">
    <fb>367.51</fb>
    <v>0</v>
  </rv>
  <rv s="0">
    <fb>30.93</fb>
    <v>0</v>
  </rv>
  <rv s="0">
    <fb>740.07</fb>
    <v>0</v>
  </rv>
  <rv s="0">
    <fb>111.64</fb>
    <v>0</v>
  </rv>
  <rv s="0">
    <fb>634.9</fb>
    <v>0</v>
  </rv>
  <rv s="0">
    <fb>88.19</fb>
    <v>0</v>
  </rv>
  <rv s="0">
    <fb>301.42</fb>
    <v>0</v>
  </rv>
  <rv s="0">
    <fb>68.989999999999995</fb>
    <v>0</v>
  </rv>
  <rv s="0">
    <fb>241.82</fb>
    <v>0</v>
  </rv>
  <rv s="0">
    <fb>406.77</fb>
    <v>0</v>
  </rv>
  <rv s="0">
    <fb>32.9</fb>
    <v>0</v>
  </rv>
  <rv s="0">
    <fb>732.58</fb>
    <v>0</v>
  </rv>
  <rv s="0">
    <fb>648.32000000000005</fb>
    <v>0</v>
  </rv>
  <rv s="0">
    <fb>84.6</fb>
    <v>0</v>
  </rv>
  <rv s="0">
    <fb>315.43</fb>
    <v>0</v>
  </rv>
  <rv s="0">
    <fb>66.319999999999993</fb>
    <v>0</v>
  </rv>
  <rv s="0">
    <fb>246.22</fb>
    <v>0</v>
  </rv>
  <rv s="0">
    <fb>405.19</fb>
    <v>0</v>
  </rv>
  <rv s="0">
    <fb>31.91</fb>
    <v>0</v>
  </rv>
  <rv s="0">
    <fb>763</fb>
    <v>0</v>
  </rv>
  <rv s="0">
    <fb>112.75</fb>
    <v>0</v>
  </rv>
  <rv s="0">
    <fb>669.3</fb>
    <v>0</v>
  </rv>
  <rv s="0">
    <fb>80.87</fb>
    <v>0</v>
  </rv>
  <rv s="0">
    <fb>311.12</fb>
    <v>0</v>
  </rv>
  <rv s="0">
    <fb>68.900000000000006</fb>
    <v>0</v>
  </rv>
  <rv s="0">
    <fb>213.94</fb>
    <v>0</v>
  </rv>
  <rv s="0">
    <fb>379.59</fb>
    <v>0</v>
  </rv>
  <rv s="0">
    <fb>30.3</fb>
    <v>0</v>
  </rv>
  <rv s="0">
    <fb>862.86</fb>
    <v>0</v>
  </rv>
  <rv s="0">
    <fb>114.36</fb>
    <v>0</v>
  </rv>
  <rv s="0">
    <fb>685.23</fb>
    <v>0</v>
  </rv>
  <rv s="0">
    <fb>87.11</fb>
    <v>0</v>
  </rv>
  <rv s="0">
    <fb>313.08</fb>
    <v>0</v>
  </rv>
  <rv s="0">
    <fb>73.12</fb>
    <v>0</v>
  </rv>
  <rv s="0">
    <fb>195.32</fb>
    <v>0</v>
  </rv>
  <rv s="0">
    <fb>356.92</fb>
    <v>0</v>
  </rv>
  <rv s="0">
    <fb>34.81</fb>
    <v>0</v>
  </rv>
  <rv s="0">
    <fb>1075.47</fb>
    <v>0</v>
  </rv>
  <rv s="0">
    <fb>115.92</fb>
    <v>0</v>
  </rv>
  <rv s="0">
    <fb>686.88</fb>
    <v>0</v>
  </rv>
  <rv s="0">
    <fb>84.21</fb>
    <v>0</v>
  </rv>
  <rv s="0">
    <fb>322.22000000000003</fb>
    <v>0</v>
  </rv>
  <rv s="0">
    <fb>69.91</fb>
    <v>0</v>
  </rv>
  <rv s="0">
    <fb>202.85</fb>
    <v>0</v>
  </rv>
  <rv s="0">
    <fb>344.1</fb>
    <v>0</v>
  </rv>
  <rv s="0">
    <fb>41.33</fb>
    <v>0</v>
  </rv>
  <rv s="0">
    <fb>1074.68</fb>
    <v>0</v>
  </rv>
  <rv s="0">
    <fb>120.34</fb>
    <v>0</v>
  </rv>
  <rv s="0">
    <fb>684.94</fb>
    <v>0</v>
  </rv>
  <rv s="0">
    <fb>91.95</fb>
    <v>0</v>
  </rv>
  <rv s="0">
    <fb>305.89</fb>
    <v>0</v>
  </rv>
  <rv s="0">
    <fb>74.81</fb>
    <v>0</v>
  </rv>
  <rv s="0">
    <fb>201.64</fb>
    <v>0</v>
  </rv>
  <rv s="0">
    <fb>374.59</fb>
    <v>0</v>
  </rv>
  <rv s="0">
    <fb>47.52</fb>
    <v>0</v>
  </rv>
  <rv s="0">
    <fb>1037.1500000000001</fb>
    <v>0</v>
  </rv>
  <rv s="0">
    <fb>141.4</fb>
    <v>0</v>
  </rv>
  <rv s="0">
    <fb>695.03</fb>
    <v>0</v>
  </rv>
  <rv s="0">
    <fb>98.02</fb>
    <v>0</v>
  </rv>
  <rv s="0">
    <fb>300.3</fb>
    <v>0</v>
  </rv>
  <rv s="0">
    <fb>81.56</fb>
    <v>0</v>
  </rv>
  <rv s="0">
    <fb>252.83</fb>
    <v>0</v>
  </rv>
  <rv s="0">
    <fb>380.72</fb>
    <v>0</v>
  </rv>
  <rv s="0">
    <fb>49.26</fb>
    <v>0</v>
  </rv>
  <rv s="0">
    <fb>1051.99</fb>
    <v>0</v>
  </rv>
  <rv s="0">
    <fb>152.5</fb>
    <v>0</v>
  </rv>
  <rv s="0">
    <fb>689.38</fb>
    <v>0</v>
  </rv>
  <rv s="0">
    <fb>89.59</fb>
    <v>0</v>
  </rv>
  <rv s="0">
    <fb>294.16000000000003</fb>
    <v>0</v>
  </rv>
  <rv s="0">
    <fb>76.05</fb>
    <v>0</v>
  </rv>
  <rv s="0">
    <fb>232.01</fb>
    <v>0</v>
  </rv>
  <rv s="0">
    <fb>328.89</fb>
    <v>0</v>
  </rv>
  <rv s="0">
    <fb>37.57</fb>
    <v>0</v>
  </rv>
  <rv s="0">
    <fb>919.77</fb>
    <v>0</v>
  </rv>
  <rv s="0">
    <fb>169.66</fb>
    <v>0</v>
  </rv>
  <rv s="0">
    <fb>653.21</fb>
    <v>0</v>
  </rv>
  <rv s="0">
    <fb>105.33</fb>
    <v>0</v>
  </rv>
  <rv s="0">
    <fb>313.23</fb>
    <v>0</v>
  </rv>
  <rv s="0">
    <fb>78.760000000000005</fb>
    <v>0</v>
  </rv>
  <rv s="0">
    <fb>251.14</fb>
    <v>0</v>
  </rv>
  <rv s="0">
    <fb>328.8</fb>
    <v>0</v>
  </rv>
  <rv s="0">
    <fb>37.92</fb>
    <v>0</v>
  </rv>
  <rv s="0">
    <fb>934.6</fb>
    <v>0</v>
  </rv>
  <rv s="0">
    <fb>154.33000000000001</fb>
    <v>0</v>
  </rv>
  <rv s="0">
    <fb>722.07</fb>
    <v>0</v>
  </rv>
  <rv s="1">
    <v>1</v>
    <v>GRMN</v>
    <v>Monthly</v>
    <v>44287</v>
    <v>46142</v>
    <v>0</v>
    <v>1</v>
    <v>639131040000000000,639144528042687847,0</v>
    <v>0</v>
    <v>a1u6sm</v>
    <v>XNYS:GRMN</v>
    <v>1</v>
  </rv>
  <rv s="1">
    <v>1</v>
    <v>LUV</v>
    <v>Monthly</v>
    <v>44287</v>
    <v>46142</v>
    <v>0</v>
    <v>1</v>
    <v>639131040000000000,639144528045636364,0</v>
    <v>0</v>
    <v>a1x6rw</v>
    <v>XNYS:LUV</v>
    <v>2</v>
  </rv>
  <rv s="1">
    <v>1</v>
    <v>LLY</v>
    <v>Monthly</v>
    <v>44287</v>
    <v>46142</v>
    <v>0</v>
    <v>1</v>
    <v>639131040000000000,639144528043462775,0</v>
    <v>0</v>
    <v>a1wyu2</v>
    <v>XNYS:LLY</v>
    <v>3</v>
  </rv>
  <rv s="1">
    <v>1</v>
    <v>HD</v>
    <v>Monthly</v>
    <v>44287</v>
    <v>46142</v>
    <v>0</v>
    <v>1</v>
    <v>639131040000000000,639144528039959707,0</v>
    <v>0</v>
    <v>a1uj52</v>
    <v>XNYS:HD</v>
    <v>4</v>
  </rv>
  <rv s="1">
    <v>1</v>
    <v>XOM</v>
    <v>Monthly</v>
    <v>44287</v>
    <v>46142</v>
    <v>0</v>
    <v>1</v>
    <v>639131040000000000,639144528040632486,0</v>
    <v>0</v>
    <v>a269ec</v>
    <v>XNYS:XOM</v>
    <v>5</v>
  </rv>
  <rv s="1">
    <v>1</v>
    <v>KO</v>
    <v>Monthly</v>
    <v>44287</v>
    <v>46142</v>
    <v>0</v>
    <v>1</v>
    <v>639131040000000000,639144528042006779,0</v>
    <v>0</v>
    <v>a1wljc</v>
    <v>XNYS:KO</v>
    <v>6</v>
  </rv>
  <rv s="1">
    <v>1</v>
    <v>JPM</v>
    <v>Monthly</v>
    <v>44287</v>
    <v>46142</v>
    <v>0</v>
    <v>1</v>
    <v>639131040000000000,639144528039217611,0</v>
    <v>0</v>
    <v>a1waa2</v>
    <v>XNYS:JPM</v>
    <v>7</v>
  </rv>
  <rv s="1">
    <v>1</v>
    <v>ivv</v>
    <v>Monthly</v>
    <v>44287</v>
    <v>46142</v>
    <v>0</v>
    <v>1</v>
    <v>639131040000000000,639144528044944762,0</v>
    <v>0</v>
    <v>a1vwrw</v>
    <v>ARCX:IVV</v>
    <v>8</v>
  </rv>
  <rv s="1">
    <v>1</v>
    <v>SBUX</v>
    <v>Monthly</v>
    <v>44287</v>
    <v>46142</v>
    <v>0</v>
    <v>1</v>
    <v>639131040000000000,639144528044181222,0</v>
    <v>0</v>
    <v>a22k9c</v>
    <v>XNAS:SBUX</v>
    <v>9</v>
  </rv>
</rvData>
</file>

<file path=xl/richData/rdrichvaluestructure.xml><?xml version="1.0" encoding="utf-8"?>
<rvStructures xmlns="http://schemas.microsoft.com/office/spreadsheetml/2017/richdata" count="2">
  <s t="_formattednumber">
    <k n="_Format" t="spb"/>
  </s>
  <s t="_stockhistorycache">
    <k n="_Format" t="spb"/>
    <k n="Symbol" t="s"/>
    <k n="Interval" t="s"/>
    <k n="StartDate" t="i"/>
    <k n="EndDate" t="i"/>
    <k n="f1904" t="b"/>
    <k n="fdcompat" t="b"/>
    <k n="etag" t="s"/>
    <k n="Date" t="a"/>
    <k n="EntityId" t="s"/>
    <k n="Instrument" t="s"/>
    <k n="Close" t="a"/>
  </s>
</rvStructures>
</file>

<file path=xl/richData/rdsupportingpropertybag.xml><?xml version="1.0" encoding="utf-8"?>
<supportingPropertyBags xmlns="http://schemas.microsoft.com/office/spreadsheetml/2017/richdata2">
  <spbData count="2">
    <spb s="0">
      <v>1</v>
    </spb>
    <spb s="1">
      <v>2</v>
      <v>1</v>
    </spb>
  </spbData>
</supportingPropertyBags>
</file>

<file path=xl/richData/rdsupportingpropertybagstructure.xml><?xml version="1.0" encoding="utf-8"?>
<spbStructures xmlns="http://schemas.microsoft.com/office/spreadsheetml/2017/richdata2" count="2">
  <s>
    <k n="_Self" t="i"/>
  </s>
  <s>
    <k n="Date" t="i"/>
    <k n="Close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2">
    <x:dxf>
      <x:numFmt numFmtId="0" formatCode="General"/>
    </x:dxf>
    <x:dxf>
      <x:numFmt numFmtId="19" formatCode="m/d/yyyy"/>
    </x:dxf>
  </dxfs>
  <richProperties>
    <rPr n="NumberFormat" t="s"/>
  </richProperties>
  <richStyles>
    <rSty dxfid="0">
      <rpv i="0">_([$$-en-US]* #,##0.00_);_([$$-en-US]* (#,##0.00);_([$$-en-US]* "-"??_);_(@_)</rpv>
    </rSty>
    <rSty dxfid="1"/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340D-14D0-4296-B092-43D8FF23EA73}">
  <dimension ref="A1:I23"/>
  <sheetViews>
    <sheetView tabSelected="1" workbookViewId="0">
      <selection activeCell="D10" sqref="D10"/>
    </sheetView>
  </sheetViews>
  <sheetFormatPr defaultRowHeight="22.5" customHeight="1" x14ac:dyDescent="0.25"/>
  <cols>
    <col min="1" max="1" width="8.1875" style="7" customWidth="1"/>
    <col min="2" max="2" width="6.875" style="7" customWidth="1"/>
    <col min="3" max="3" width="6.625" style="7" customWidth="1"/>
    <col min="4" max="4" width="4.3125" style="7" customWidth="1"/>
    <col min="5" max="5" width="7" style="7" customWidth="1"/>
    <col min="6" max="6" width="7.6875" style="7" customWidth="1"/>
    <col min="7" max="7" width="6.875" style="7" customWidth="1"/>
    <col min="8" max="16384" width="9" style="7"/>
  </cols>
  <sheetData>
    <row r="1" spans="1:9" ht="22.5" customHeight="1" x14ac:dyDescent="0.4">
      <c r="A1" s="16" t="s">
        <v>0</v>
      </c>
      <c r="B1" s="6"/>
      <c r="C1" s="6"/>
      <c r="D1" s="6"/>
      <c r="E1" s="6"/>
      <c r="F1" s="6"/>
      <c r="G1" s="6"/>
      <c r="H1" s="6"/>
      <c r="I1" s="6"/>
    </row>
    <row r="2" spans="1:9" ht="22.5" customHeight="1" x14ac:dyDescent="0.25">
      <c r="B2" s="6"/>
      <c r="C2" s="6"/>
      <c r="D2" s="6"/>
      <c r="E2" s="6"/>
      <c r="F2" s="6"/>
      <c r="G2" s="6"/>
      <c r="H2" s="6"/>
      <c r="I2" s="6"/>
    </row>
    <row r="3" spans="1:9" ht="22.5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ht="22.5" customHeight="1" x14ac:dyDescent="0.25">
      <c r="A4" s="8" t="s">
        <v>1</v>
      </c>
      <c r="B4" s="9">
        <f ca="1">TODAY()</f>
        <v>46157</v>
      </c>
      <c r="C4" s="5"/>
      <c r="D4" s="6"/>
      <c r="E4" s="6"/>
      <c r="F4" s="6"/>
      <c r="G4" s="6"/>
      <c r="H4" s="6"/>
      <c r="I4" s="6"/>
    </row>
    <row r="5" spans="1:9" ht="22.5" customHeight="1" x14ac:dyDescent="0.25">
      <c r="A5" s="10" t="s">
        <v>2</v>
      </c>
      <c r="B5" s="11">
        <f ca="1">DATE(YEAR(B4)-5, MONTH(B4)-1,1)</f>
        <v>44287</v>
      </c>
      <c r="D5" s="6"/>
      <c r="E5" s="6"/>
      <c r="F5" s="6"/>
      <c r="G5" s="6"/>
      <c r="H5" s="6"/>
      <c r="I5" s="6"/>
    </row>
    <row r="6" spans="1:9" ht="22.5" customHeight="1" x14ac:dyDescent="0.25">
      <c r="A6" s="10" t="s">
        <v>3</v>
      </c>
      <c r="B6" s="12">
        <f ca="1">DATE(YEAR(B4), MONTH(B4)-1, 28)</f>
        <v>46140</v>
      </c>
      <c r="D6" s="6"/>
      <c r="E6" s="6"/>
      <c r="F6" s="6"/>
      <c r="G6" s="6"/>
      <c r="H6" s="6"/>
      <c r="I6" s="6"/>
    </row>
    <row r="7" spans="1:9" ht="22.5" customHeight="1" x14ac:dyDescent="0.25">
      <c r="A7" s="10"/>
      <c r="B7" s="12"/>
      <c r="D7" s="6"/>
      <c r="E7" s="6"/>
      <c r="F7" s="6"/>
      <c r="G7" s="6"/>
      <c r="H7" s="6"/>
      <c r="I7" s="6"/>
    </row>
    <row r="8" spans="1:9" ht="22.5" customHeight="1" x14ac:dyDescent="0.25">
      <c r="A8" s="10"/>
      <c r="B8" s="12"/>
      <c r="D8" s="6"/>
      <c r="E8" s="6"/>
      <c r="F8" s="6"/>
      <c r="G8" s="6"/>
      <c r="H8" s="6"/>
      <c r="I8" s="6"/>
    </row>
    <row r="9" spans="1:9" ht="22.5" customHeight="1" x14ac:dyDescent="0.25">
      <c r="A9" s="10"/>
      <c r="B9" s="12"/>
      <c r="D9" s="6"/>
      <c r="E9" s="6"/>
      <c r="F9" s="6"/>
      <c r="G9" s="6"/>
      <c r="H9" s="6"/>
      <c r="I9" s="6"/>
    </row>
    <row r="10" spans="1:9" ht="22.5" customHeight="1" thickBot="1" x14ac:dyDescent="0.3">
      <c r="A10" s="13"/>
      <c r="B10" s="14"/>
      <c r="D10" s="6"/>
      <c r="E10" s="6"/>
      <c r="F10" s="6"/>
      <c r="G10" s="6"/>
      <c r="H10" s="6"/>
      <c r="I10" s="6"/>
    </row>
    <row r="11" spans="1:9" ht="22.5" customHeight="1" thickBot="1" x14ac:dyDescent="0.3">
      <c r="A11" s="13"/>
      <c r="B11" s="14"/>
      <c r="D11" s="6"/>
      <c r="E11" s="52" t="s">
        <v>4</v>
      </c>
      <c r="F11" s="53"/>
      <c r="G11" s="2">
        <v>0.03</v>
      </c>
      <c r="H11" s="6"/>
      <c r="I11" s="6"/>
    </row>
    <row r="12" spans="1:9" ht="22.5" customHeight="1" thickBot="1" x14ac:dyDescent="0.3">
      <c r="A12" s="15"/>
      <c r="B12" s="6"/>
      <c r="C12" s="6"/>
      <c r="D12" s="6"/>
      <c r="E12" s="52" t="s">
        <v>5</v>
      </c>
      <c r="F12" s="53"/>
      <c r="G12" s="2">
        <v>5.7000000000000002E-2</v>
      </c>
      <c r="H12" s="6"/>
      <c r="I12" s="6"/>
    </row>
    <row r="13" spans="1:9" ht="22.5" customHeight="1" x14ac:dyDescent="0.25">
      <c r="A13" s="15"/>
      <c r="B13" s="6"/>
      <c r="C13" s="8"/>
      <c r="D13" s="6"/>
      <c r="E13" s="6"/>
      <c r="F13" s="6"/>
      <c r="G13" s="6"/>
      <c r="H13" s="6"/>
      <c r="I13" s="6"/>
    </row>
    <row r="14" spans="1:9" ht="22.5" customHeight="1" x14ac:dyDescent="0.35">
      <c r="A14" s="15"/>
      <c r="B14" s="54" t="s">
        <v>6</v>
      </c>
      <c r="C14" s="54"/>
      <c r="D14" s="6"/>
      <c r="E14" s="6"/>
      <c r="F14" s="6"/>
      <c r="G14" s="6"/>
      <c r="H14" s="6"/>
      <c r="I14" s="6"/>
    </row>
    <row r="15" spans="1:9" ht="22.5" customHeight="1" x14ac:dyDescent="0.25">
      <c r="A15" s="15"/>
      <c r="B15" s="3">
        <v>1</v>
      </c>
      <c r="C15" s="4" t="s">
        <v>49</v>
      </c>
      <c r="D15" s="6"/>
      <c r="E15" s="6"/>
      <c r="F15" s="6"/>
      <c r="G15" s="6"/>
      <c r="H15" s="6"/>
      <c r="I15" s="6"/>
    </row>
    <row r="16" spans="1:9" ht="22.5" customHeight="1" x14ac:dyDescent="0.25">
      <c r="A16" s="15"/>
      <c r="B16" s="3">
        <v>2</v>
      </c>
      <c r="C16" s="4" t="s">
        <v>7</v>
      </c>
      <c r="D16" s="6"/>
      <c r="E16" s="6"/>
      <c r="F16" s="6"/>
      <c r="G16" s="6"/>
      <c r="H16" s="6"/>
      <c r="I16" s="6"/>
    </row>
    <row r="17" spans="1:9" ht="22.5" customHeight="1" x14ac:dyDescent="0.25">
      <c r="A17" s="15"/>
      <c r="B17" s="3">
        <v>3</v>
      </c>
      <c r="C17" s="4" t="s">
        <v>8</v>
      </c>
      <c r="D17" s="6"/>
      <c r="E17" s="6"/>
      <c r="F17" s="6"/>
      <c r="G17" s="6"/>
      <c r="H17" s="6"/>
      <c r="I17" s="6"/>
    </row>
    <row r="18" spans="1:9" ht="22.5" customHeight="1" x14ac:dyDescent="0.25">
      <c r="A18" s="15"/>
      <c r="B18" s="3">
        <v>4</v>
      </c>
      <c r="C18" s="4" t="s">
        <v>9</v>
      </c>
      <c r="D18" s="6"/>
      <c r="E18" s="6"/>
      <c r="F18" s="6"/>
      <c r="G18" s="6"/>
      <c r="H18" s="6"/>
      <c r="I18" s="6"/>
    </row>
    <row r="19" spans="1:9" ht="22.5" customHeight="1" x14ac:dyDescent="0.25">
      <c r="A19" s="15"/>
      <c r="B19" s="3">
        <v>5</v>
      </c>
      <c r="C19" s="4" t="s">
        <v>10</v>
      </c>
      <c r="D19" s="6"/>
      <c r="E19" s="6"/>
      <c r="F19" s="6"/>
      <c r="G19" s="6"/>
      <c r="H19" s="6"/>
      <c r="I19" s="6"/>
    </row>
    <row r="20" spans="1:9" ht="22.5" customHeight="1" x14ac:dyDescent="0.25">
      <c r="A20" s="3"/>
      <c r="B20" s="3">
        <v>6</v>
      </c>
      <c r="C20" s="4" t="s">
        <v>11</v>
      </c>
      <c r="D20" s="6"/>
      <c r="E20" s="6"/>
      <c r="F20" s="6"/>
      <c r="G20" s="6"/>
      <c r="H20" s="6"/>
      <c r="I20" s="6"/>
    </row>
    <row r="21" spans="1:9" ht="22.5" customHeight="1" x14ac:dyDescent="0.25">
      <c r="A21" s="3"/>
      <c r="B21" s="3">
        <v>7</v>
      </c>
      <c r="C21" s="4" t="s">
        <v>12</v>
      </c>
      <c r="D21" s="6"/>
      <c r="E21" s="6"/>
      <c r="F21" s="6"/>
      <c r="G21" s="6"/>
      <c r="H21" s="6"/>
      <c r="I21" s="6"/>
    </row>
    <row r="22" spans="1:9" ht="22.5" customHeight="1" x14ac:dyDescent="0.25">
      <c r="A22" s="3"/>
      <c r="B22" s="3">
        <v>8</v>
      </c>
      <c r="C22" s="4" t="s">
        <v>13</v>
      </c>
      <c r="D22" s="6"/>
      <c r="E22" s="6"/>
      <c r="F22" s="6"/>
      <c r="G22" s="6"/>
      <c r="H22" s="6"/>
      <c r="I22" s="6"/>
    </row>
    <row r="23" spans="1:9" ht="22.5" customHeight="1" x14ac:dyDescent="0.25">
      <c r="A23" s="3"/>
      <c r="B23" s="6"/>
      <c r="C23" s="6"/>
      <c r="D23" s="6"/>
      <c r="E23" s="6"/>
      <c r="F23" s="6"/>
      <c r="G23" s="6"/>
      <c r="H23" s="6"/>
      <c r="I23" s="6"/>
    </row>
  </sheetData>
  <mergeCells count="3">
    <mergeCell ref="E11:F11"/>
    <mergeCell ref="E12:F12"/>
    <mergeCell ref="B14:C14"/>
  </mergeCells>
  <dataValidations count="1">
    <dataValidation type="list" allowBlank="1" showInputMessage="1" showErrorMessage="1" sqref="B10:B11" xr:uid="{01B2A6D7-D59D-4C04-A0C8-943943E3C492}">
      <formula1>"d,w,m,v"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2C71-8250-4638-89BF-35F1CE7B05B6}">
  <dimension ref="A1:U72"/>
  <sheetViews>
    <sheetView workbookViewId="0">
      <pane ySplit="2" topLeftCell="A3" activePane="bottomLeft" state="frozen"/>
      <selection pane="bottomLeft" activeCell="A5" sqref="A5"/>
    </sheetView>
  </sheetViews>
  <sheetFormatPr defaultRowHeight="23.25" customHeight="1" x14ac:dyDescent="0.25"/>
  <cols>
    <col min="1" max="1" width="8.0625" style="7" customWidth="1"/>
    <col min="2" max="3" width="4.3125" style="7" bestFit="1" customWidth="1"/>
    <col min="4" max="4" width="3.8125" style="7" bestFit="1" customWidth="1"/>
    <col min="5" max="6" width="4.3125" style="7" bestFit="1" customWidth="1"/>
    <col min="7" max="7" width="3.8125" style="7" bestFit="1" customWidth="1"/>
    <col min="8" max="10" width="4.3125" style="7" bestFit="1" customWidth="1"/>
    <col min="11" max="19" width="3.6875" style="7" bestFit="1" customWidth="1"/>
    <col min="20" max="20" width="3" style="7" bestFit="1" customWidth="1"/>
    <col min="21" max="21" width="2.9375" style="7" bestFit="1" customWidth="1"/>
    <col min="22" max="16384" width="9" style="7"/>
  </cols>
  <sheetData>
    <row r="1" spans="1:21" s="1" customFormat="1" ht="23.25" customHeight="1" x14ac:dyDescent="0.3">
      <c r="A1" s="28"/>
      <c r="B1" s="55" t="s">
        <v>14</v>
      </c>
      <c r="C1" s="55"/>
      <c r="D1" s="55"/>
      <c r="E1" s="55"/>
      <c r="F1" s="55"/>
      <c r="G1" s="55"/>
      <c r="H1" s="55"/>
      <c r="I1" s="55"/>
      <c r="J1" s="55"/>
      <c r="K1" s="55" t="s">
        <v>15</v>
      </c>
      <c r="L1" s="55"/>
      <c r="M1" s="55"/>
      <c r="N1" s="55"/>
      <c r="O1" s="55"/>
      <c r="P1" s="55"/>
      <c r="Q1" s="55"/>
      <c r="R1" s="55"/>
      <c r="S1" s="55"/>
      <c r="T1" s="21" t="s">
        <v>16</v>
      </c>
      <c r="U1" s="22">
        <f>Inputs!G11</f>
        <v>0.03</v>
      </c>
    </row>
    <row r="2" spans="1:21" ht="23.25" customHeight="1" x14ac:dyDescent="0.25">
      <c r="A2" s="21" t="s">
        <v>17</v>
      </c>
      <c r="B2" s="21" t="str">
        <f>Inputs!C15</f>
        <v>SBUX</v>
      </c>
      <c r="C2" s="21" t="str">
        <f>Inputs!C16</f>
        <v>JPM</v>
      </c>
      <c r="D2" s="21" t="str">
        <f>Inputs!C17</f>
        <v>KO</v>
      </c>
      <c r="E2" s="21" t="str">
        <f>Inputs!C18</f>
        <v>GRMN</v>
      </c>
      <c r="F2" s="21" t="str">
        <f>Inputs!C19</f>
        <v>HD</v>
      </c>
      <c r="G2" s="21" t="str">
        <f>Inputs!C20</f>
        <v>LUV</v>
      </c>
      <c r="H2" s="21" t="str">
        <f>Inputs!C21</f>
        <v>LLY</v>
      </c>
      <c r="I2" s="21" t="str">
        <f>Inputs!C22</f>
        <v>XOM</v>
      </c>
      <c r="J2" s="21" t="s">
        <v>18</v>
      </c>
      <c r="K2" s="21" t="str">
        <f>B2</f>
        <v>SBUX</v>
      </c>
      <c r="L2" s="21" t="str">
        <f>C2</f>
        <v>JPM</v>
      </c>
      <c r="M2" s="21" t="str">
        <f t="shared" ref="M2:R2" si="0">D2</f>
        <v>KO</v>
      </c>
      <c r="N2" s="21" t="str">
        <f t="shared" si="0"/>
        <v>GRMN</v>
      </c>
      <c r="O2" s="21" t="str">
        <f t="shared" si="0"/>
        <v>HD</v>
      </c>
      <c r="P2" s="21" t="str">
        <f t="shared" si="0"/>
        <v>LUV</v>
      </c>
      <c r="Q2" s="21" t="str">
        <f t="shared" si="0"/>
        <v>LLY</v>
      </c>
      <c r="R2" s="21" t="str">
        <f t="shared" si="0"/>
        <v>XOM</v>
      </c>
      <c r="S2" s="21" t="str">
        <f>J2</f>
        <v>ivv</v>
      </c>
      <c r="T2" s="21" t="s">
        <v>19</v>
      </c>
      <c r="U2" s="22">
        <f>Inputs!G12</f>
        <v>5.7000000000000002E-2</v>
      </c>
    </row>
    <row r="3" spans="1:21" ht="23.25" customHeight="1" x14ac:dyDescent="0.25">
      <c r="A3" s="24">
        <f ca="1">A71</f>
        <v>44287</v>
      </c>
      <c r="B3" s="7" cm="1" vm="1">
        <f t="array" aca="1" ref="B3:B63" ca="1">_xlfn.STOCKHISTORY(B2,$A$71,$A$72,2,0,1)</f>
        <v>114.49</v>
      </c>
      <c r="C3" s="7" cm="1" vm="2">
        <f t="array" aca="1" ref="C3:C63" ca="1">_xlfn.STOCKHISTORY(C2,$A$71,$A$72,2,0,1)</f>
        <v>153.81</v>
      </c>
      <c r="D3" s="7" cm="1" vm="3">
        <f t="array" aca="1" ref="D3:D63" ca="1">_xlfn.STOCKHISTORY(D2,$A$71,$A$72,2,0,1)</f>
        <v>53.98</v>
      </c>
      <c r="E3" s="7" cm="1" vm="4">
        <f t="array" aca="1" ref="E3:E63" ca="1">_xlfn.STOCKHISTORY(E2,$A$71,$A$72,2,0,1)</f>
        <v>137.24</v>
      </c>
      <c r="F3" s="7" cm="1" vm="5">
        <f t="array" aca="1" ref="F3:F63" ca="1">_xlfn.STOCKHISTORY(F2,$A$71,$A$72,2,0,1)</f>
        <v>323.67</v>
      </c>
      <c r="G3" s="7" cm="1" vm="6">
        <f t="array" aca="1" ref="G3:G63" ca="1">_xlfn.STOCKHISTORY(G2,$A$71,$A$72,2,0,1)</f>
        <v>62.78</v>
      </c>
      <c r="H3" s="7" cm="1" vm="7">
        <f t="array" aca="1" ref="H3:H63" ca="1">_xlfn.STOCKHISTORY(H2,$A$71,$A$72,2,0,1)</f>
        <v>182.77</v>
      </c>
      <c r="I3" s="7" cm="1" vm="8">
        <f t="array" aca="1" ref="I3:I63" ca="1">_xlfn.STOCKHISTORY(I2,$A$71,$A$72,2,0,1)</f>
        <v>57.24</v>
      </c>
      <c r="J3" s="7" cm="1" vm="9">
        <f t="array" aca="1" ref="J3:J63" ca="1">_xlfn.STOCKHISTORY(J2,$A$71,$A$72,2,0,1)</f>
        <v>418.88</v>
      </c>
      <c r="K3" s="25" t="s">
        <v>20</v>
      </c>
      <c r="L3" s="25" t="s">
        <v>21</v>
      </c>
      <c r="M3" s="25" t="s">
        <v>22</v>
      </c>
      <c r="N3" s="25" t="s">
        <v>23</v>
      </c>
      <c r="O3" s="25" t="s">
        <v>24</v>
      </c>
      <c r="P3" s="25" t="s">
        <v>25</v>
      </c>
      <c r="Q3" s="25" t="s">
        <v>26</v>
      </c>
      <c r="R3" s="25" t="s">
        <v>27</v>
      </c>
      <c r="S3" s="18"/>
    </row>
    <row r="4" spans="1:21" ht="23.25" customHeight="1" x14ac:dyDescent="0.25">
      <c r="A4" s="24">
        <f ca="1">EDATE(A3,1)</f>
        <v>44317</v>
      </c>
      <c r="B4" s="7" vm="10">
        <f ca="1"/>
        <v>113.88</v>
      </c>
      <c r="C4" s="7" vm="11">
        <f ca="1"/>
        <v>164.24</v>
      </c>
      <c r="D4" s="7" vm="12">
        <f ca="1"/>
        <v>55.29</v>
      </c>
      <c r="E4" s="7" vm="13">
        <f ca="1"/>
        <v>142.24</v>
      </c>
      <c r="F4" s="7" vm="14">
        <f ca="1"/>
        <v>318.91000000000003</v>
      </c>
      <c r="G4" s="7" vm="15">
        <f ca="1"/>
        <v>61.46</v>
      </c>
      <c r="H4" s="7" vm="16">
        <f ca="1"/>
        <v>199.74</v>
      </c>
      <c r="I4" s="7" vm="17">
        <f ca="1"/>
        <v>58.37</v>
      </c>
      <c r="J4" s="7" vm="18">
        <f ca="1"/>
        <v>421.65</v>
      </c>
      <c r="K4" s="18">
        <f ca="1">LN(B4/B3)</f>
        <v>-5.3422205258841947E-3</v>
      </c>
      <c r="L4" s="18">
        <f t="shared" ref="L4:S35" ca="1" si="1">LN(C4/C3)</f>
        <v>6.5610698246959365E-2</v>
      </c>
      <c r="M4" s="18">
        <f t="shared" ca="1" si="1"/>
        <v>2.3978452759983133E-2</v>
      </c>
      <c r="N4" s="18">
        <f t="shared" ca="1" si="1"/>
        <v>3.5784553775345569E-2</v>
      </c>
      <c r="O4" s="18">
        <f t="shared" ca="1" si="1"/>
        <v>-1.4815546914580284E-2</v>
      </c>
      <c r="P4" s="18">
        <f t="shared" ca="1" si="1"/>
        <v>-2.1249994711468868E-2</v>
      </c>
      <c r="Q4" s="18">
        <f t="shared" ca="1" si="1"/>
        <v>8.87879890486378E-2</v>
      </c>
      <c r="R4" s="18">
        <f t="shared" ca="1" si="1"/>
        <v>1.9549104527449394E-2</v>
      </c>
      <c r="S4" s="18">
        <f t="shared" ca="1" si="1"/>
        <v>6.5911032991153549E-3</v>
      </c>
    </row>
    <row r="5" spans="1:21" ht="23.25" customHeight="1" x14ac:dyDescent="0.25">
      <c r="A5" s="24">
        <f t="shared" ref="A5:A63" ca="1" si="2">EDATE(A4,1)</f>
        <v>44348</v>
      </c>
      <c r="B5" s="7" vm="19">
        <f ca="1"/>
        <v>111.81</v>
      </c>
      <c r="C5" s="7" vm="20">
        <f ca="1"/>
        <v>155.54</v>
      </c>
      <c r="D5" s="7" vm="21">
        <f ca="1"/>
        <v>54.11</v>
      </c>
      <c r="E5" s="7" vm="22">
        <f ca="1"/>
        <v>144.63999999999999</v>
      </c>
      <c r="F5" s="7" vm="23">
        <f ca="1"/>
        <v>318.89</v>
      </c>
      <c r="G5" s="7" vm="24">
        <f ca="1"/>
        <v>53.09</v>
      </c>
      <c r="H5" s="7" vm="25">
        <f ca="1"/>
        <v>229.52</v>
      </c>
      <c r="I5" s="7" vm="26">
        <f ca="1"/>
        <v>63.08</v>
      </c>
      <c r="J5" s="7" vm="27">
        <f ca="1"/>
        <v>429.92</v>
      </c>
      <c r="K5" s="18">
        <f t="shared" ref="K5:R62" ca="1" si="3">LN(B5/B4)</f>
        <v>-1.8344260250560015E-2</v>
      </c>
      <c r="L5" s="18">
        <f t="shared" ca="1" si="1"/>
        <v>-5.4425839443881033E-2</v>
      </c>
      <c r="M5" s="18">
        <f t="shared" ca="1" si="1"/>
        <v>-2.1573048695197754E-2</v>
      </c>
      <c r="N5" s="18">
        <f t="shared" ca="1" si="1"/>
        <v>1.6732124878271859E-2</v>
      </c>
      <c r="O5" s="18">
        <f t="shared" ca="1" si="1"/>
        <v>-6.271558484355691E-5</v>
      </c>
      <c r="P5" s="18">
        <f t="shared" ca="1" si="1"/>
        <v>-0.14639797010675842</v>
      </c>
      <c r="Q5" s="18">
        <f t="shared" ca="1" si="1"/>
        <v>0.13897365085812077</v>
      </c>
      <c r="R5" s="18">
        <f t="shared" ca="1" si="1"/>
        <v>7.7601702879137993E-2</v>
      </c>
      <c r="S5" s="18">
        <f t="shared" ca="1" si="1"/>
        <v>1.9423558846530537E-2</v>
      </c>
    </row>
    <row r="6" spans="1:21" ht="23.25" customHeight="1" x14ac:dyDescent="0.25">
      <c r="A6" s="24">
        <f t="shared" ca="1" si="2"/>
        <v>44378</v>
      </c>
      <c r="B6" s="7" vm="28">
        <f ca="1"/>
        <v>121.43</v>
      </c>
      <c r="C6" s="7" vm="29">
        <f ca="1"/>
        <v>151.78</v>
      </c>
      <c r="D6" s="7" vm="30">
        <f ca="1"/>
        <v>57.03</v>
      </c>
      <c r="E6" s="7" vm="31">
        <f ca="1"/>
        <v>157.19999999999999</v>
      </c>
      <c r="F6" s="7" vm="32">
        <f ca="1"/>
        <v>328.19</v>
      </c>
      <c r="G6" s="7" vm="33">
        <f ca="1"/>
        <v>50.52</v>
      </c>
      <c r="H6" s="7" vm="34">
        <f ca="1"/>
        <v>243.5</v>
      </c>
      <c r="I6" s="7" vm="35">
        <f ca="1"/>
        <v>57.57</v>
      </c>
      <c r="J6" s="7" vm="36">
        <f ca="1"/>
        <v>440.4</v>
      </c>
      <c r="K6" s="18">
        <f t="shared" ca="1" si="3"/>
        <v>8.2536962906450809E-2</v>
      </c>
      <c r="L6" s="18">
        <f t="shared" ca="1" si="1"/>
        <v>-2.4470829291030432E-2</v>
      </c>
      <c r="M6" s="18">
        <f t="shared" ca="1" si="1"/>
        <v>5.2558433513803543E-2</v>
      </c>
      <c r="N6" s="18">
        <f t="shared" ca="1" si="1"/>
        <v>8.3270983351239794E-2</v>
      </c>
      <c r="O6" s="18">
        <f t="shared" ca="1" si="1"/>
        <v>2.8746493233777894E-2</v>
      </c>
      <c r="P6" s="18">
        <f t="shared" ca="1" si="1"/>
        <v>-4.9619289113289715E-2</v>
      </c>
      <c r="Q6" s="18">
        <f t="shared" ca="1" si="1"/>
        <v>5.9126770849535062E-2</v>
      </c>
      <c r="R6" s="18">
        <f t="shared" ca="1" si="1"/>
        <v>-9.1402163407119374E-2</v>
      </c>
      <c r="S6" s="18">
        <f t="shared" ca="1" si="1"/>
        <v>2.4084259981343677E-2</v>
      </c>
    </row>
    <row r="7" spans="1:21" ht="23.25" customHeight="1" x14ac:dyDescent="0.25">
      <c r="A7" s="24">
        <f t="shared" ca="1" si="2"/>
        <v>44409</v>
      </c>
      <c r="B7" s="7" vm="37">
        <f ca="1"/>
        <v>117.49</v>
      </c>
      <c r="C7" s="7" vm="38">
        <f ca="1"/>
        <v>159.94999999999999</v>
      </c>
      <c r="D7" s="7" vm="39">
        <f ca="1"/>
        <v>56.31</v>
      </c>
      <c r="E7" s="7" vm="40">
        <f ca="1"/>
        <v>174.43</v>
      </c>
      <c r="F7" s="7" vm="41">
        <f ca="1"/>
        <v>326.18</v>
      </c>
      <c r="G7" s="7" vm="42">
        <f ca="1"/>
        <v>49.78</v>
      </c>
      <c r="H7" s="7" vm="43">
        <f ca="1"/>
        <v>258.29000000000002</v>
      </c>
      <c r="I7" s="7" vm="44">
        <f ca="1"/>
        <v>54.52</v>
      </c>
      <c r="J7" s="7" vm="45">
        <f ca="1"/>
        <v>453.71</v>
      </c>
      <c r="K7" s="18">
        <f t="shared" ca="1" si="3"/>
        <v>-3.2984741486246458E-2</v>
      </c>
      <c r="L7" s="18">
        <f t="shared" ca="1" si="1"/>
        <v>5.2429162419760131E-2</v>
      </c>
      <c r="M7" s="18">
        <f t="shared" ca="1" si="1"/>
        <v>-1.2705305901920315E-2</v>
      </c>
      <c r="N7" s="18">
        <f t="shared" ca="1" si="1"/>
        <v>0.10400463503493731</v>
      </c>
      <c r="O7" s="18">
        <f t="shared" ca="1" si="1"/>
        <v>-6.1433327369408266E-3</v>
      </c>
      <c r="P7" s="18">
        <f t="shared" ca="1" si="1"/>
        <v>-1.4756000542844426E-2</v>
      </c>
      <c r="Q7" s="18">
        <f t="shared" ca="1" si="1"/>
        <v>5.8966042156857169E-2</v>
      </c>
      <c r="R7" s="18">
        <f t="shared" ca="1" si="1"/>
        <v>-5.4433991859386376E-2</v>
      </c>
      <c r="S7" s="18">
        <f t="shared" ca="1" si="1"/>
        <v>2.9774822574747176E-2</v>
      </c>
    </row>
    <row r="8" spans="1:21" ht="23.25" customHeight="1" x14ac:dyDescent="0.25">
      <c r="A8" s="24">
        <f t="shared" ca="1" si="2"/>
        <v>44440</v>
      </c>
      <c r="B8" s="7" vm="46">
        <f ca="1"/>
        <v>110.31</v>
      </c>
      <c r="C8" s="7" vm="47">
        <f ca="1"/>
        <v>163.69</v>
      </c>
      <c r="D8" s="7" vm="48">
        <f ca="1"/>
        <v>52.47</v>
      </c>
      <c r="E8" s="7" vm="49">
        <f ca="1"/>
        <v>155.46</v>
      </c>
      <c r="F8" s="7" vm="50">
        <f ca="1"/>
        <v>328.26</v>
      </c>
      <c r="G8" s="7" vm="51">
        <f ca="1"/>
        <v>51.43</v>
      </c>
      <c r="H8" s="7" vm="52">
        <f ca="1"/>
        <v>231.05</v>
      </c>
      <c r="I8" s="7" vm="53">
        <f ca="1"/>
        <v>58.82</v>
      </c>
      <c r="J8" s="7" vm="54">
        <f ca="1"/>
        <v>430.82</v>
      </c>
      <c r="K8" s="18">
        <f t="shared" ca="1" si="3"/>
        <v>-6.3058639598190872E-2</v>
      </c>
      <c r="L8" s="18">
        <f t="shared" ca="1" si="1"/>
        <v>2.3113128760736273E-2</v>
      </c>
      <c r="M8" s="18">
        <f t="shared" ca="1" si="1"/>
        <v>-7.0630561567906772E-2</v>
      </c>
      <c r="N8" s="18">
        <f t="shared" ca="1" si="1"/>
        <v>-0.11513505122796978</v>
      </c>
      <c r="O8" s="18">
        <f t="shared" ca="1" si="1"/>
        <v>6.3566010750178434E-3</v>
      </c>
      <c r="P8" s="18">
        <f t="shared" ca="1" si="1"/>
        <v>3.2608362847378836E-2</v>
      </c>
      <c r="Q8" s="18">
        <f t="shared" ca="1" si="1"/>
        <v>-0.11144884736322619</v>
      </c>
      <c r="R8" s="18">
        <f t="shared" ca="1" si="1"/>
        <v>7.5914326297517126E-2</v>
      </c>
      <c r="S8" s="18">
        <f t="shared" ca="1" si="1"/>
        <v>-5.1767857963318488E-2</v>
      </c>
    </row>
    <row r="9" spans="1:21" ht="23.25" customHeight="1" x14ac:dyDescent="0.25">
      <c r="A9" s="24">
        <f t="shared" ca="1" si="2"/>
        <v>44470</v>
      </c>
      <c r="B9" s="7" vm="55">
        <f ca="1"/>
        <v>106.07</v>
      </c>
      <c r="C9" s="7" vm="56">
        <f ca="1"/>
        <v>169.89</v>
      </c>
      <c r="D9" s="7" vm="57">
        <f ca="1"/>
        <v>56.37</v>
      </c>
      <c r="E9" s="7" vm="58">
        <f ca="1"/>
        <v>143.6</v>
      </c>
      <c r="F9" s="7" vm="59">
        <f ca="1"/>
        <v>371.74</v>
      </c>
      <c r="G9" s="7" vm="60">
        <f ca="1"/>
        <v>47.28</v>
      </c>
      <c r="H9" s="7" vm="61">
        <f ca="1"/>
        <v>254.76</v>
      </c>
      <c r="I9" s="7" vm="62">
        <f ca="1"/>
        <v>64.47</v>
      </c>
      <c r="J9" s="7" vm="63">
        <f ca="1"/>
        <v>460.99</v>
      </c>
      <c r="K9" s="18">
        <f t="shared" ca="1" si="3"/>
        <v>-3.9195330463911535E-2</v>
      </c>
      <c r="L9" s="18">
        <f t="shared" ca="1" si="1"/>
        <v>3.7176773637560064E-2</v>
      </c>
      <c r="M9" s="18">
        <f t="shared" ca="1" si="1"/>
        <v>7.1695524394863208E-2</v>
      </c>
      <c r="N9" s="18">
        <f t="shared" ca="1" si="1"/>
        <v>-7.9356807187949907E-2</v>
      </c>
      <c r="O9" s="18">
        <f t="shared" ca="1" si="1"/>
        <v>0.12438870787641736</v>
      </c>
      <c r="P9" s="18">
        <f t="shared" ca="1" si="1"/>
        <v>-8.4134286688981999E-2</v>
      </c>
      <c r="Q9" s="18">
        <f t="shared" ca="1" si="1"/>
        <v>9.7687788186889488E-2</v>
      </c>
      <c r="R9" s="18">
        <f t="shared" ca="1" si="1"/>
        <v>9.1718066196679854E-2</v>
      </c>
      <c r="S9" s="18">
        <f t="shared" ca="1" si="1"/>
        <v>6.7685981327451156E-2</v>
      </c>
    </row>
    <row r="10" spans="1:21" ht="23.25" customHeight="1" x14ac:dyDescent="0.25">
      <c r="A10" s="24">
        <f t="shared" ca="1" si="2"/>
        <v>44501</v>
      </c>
      <c r="B10" s="7" vm="64">
        <f ca="1"/>
        <v>109.64</v>
      </c>
      <c r="C10" s="7" vm="65">
        <f ca="1"/>
        <v>158.83000000000001</v>
      </c>
      <c r="D10" s="7" vm="66">
        <f ca="1"/>
        <v>52.45</v>
      </c>
      <c r="E10" s="7" vm="67">
        <f ca="1"/>
        <v>133.54</v>
      </c>
      <c r="F10" s="7" vm="68">
        <f ca="1"/>
        <v>400.61</v>
      </c>
      <c r="G10" s="7" vm="69">
        <f ca="1"/>
        <v>44.4</v>
      </c>
      <c r="H10" s="7" vm="70">
        <f ca="1"/>
        <v>248.04</v>
      </c>
      <c r="I10" s="7" vm="71">
        <f ca="1"/>
        <v>59.84</v>
      </c>
      <c r="J10" s="7" vm="72">
        <f ca="1"/>
        <v>457.63</v>
      </c>
      <c r="K10" s="18">
        <f t="shared" ca="1" si="3"/>
        <v>3.3103017917206282E-2</v>
      </c>
      <c r="L10" s="18">
        <f t="shared" ca="1" si="1"/>
        <v>-6.7316720946759473E-2</v>
      </c>
      <c r="M10" s="18">
        <f t="shared" ca="1" si="1"/>
        <v>-7.207676725117737E-2</v>
      </c>
      <c r="N10" s="18">
        <f t="shared" ca="1" si="1"/>
        <v>-7.2630598184401041E-2</v>
      </c>
      <c r="O10" s="18">
        <f t="shared" ca="1" si="1"/>
        <v>7.4793700296117399E-2</v>
      </c>
      <c r="P10" s="18">
        <f t="shared" ca="1" si="1"/>
        <v>-6.2847903659663765E-2</v>
      </c>
      <c r="Q10" s="18">
        <f t="shared" ca="1" si="1"/>
        <v>-2.6731902021487786E-2</v>
      </c>
      <c r="R10" s="18">
        <f t="shared" ca="1" si="1"/>
        <v>-7.4525665656306861E-2</v>
      </c>
      <c r="S10" s="18">
        <f t="shared" ca="1" si="1"/>
        <v>-7.3153534301832112E-3</v>
      </c>
    </row>
    <row r="11" spans="1:21" ht="23.25" customHeight="1" x14ac:dyDescent="0.25">
      <c r="A11" s="24">
        <f t="shared" ca="1" si="2"/>
        <v>44531</v>
      </c>
      <c r="B11" s="7" vm="73">
        <f ca="1"/>
        <v>116.97</v>
      </c>
      <c r="C11" s="7" vm="74">
        <f ca="1"/>
        <v>158.35</v>
      </c>
      <c r="D11" s="7" vm="75">
        <f ca="1"/>
        <v>59.21</v>
      </c>
      <c r="E11" s="7" vm="76">
        <f ca="1"/>
        <v>136.16999999999999</v>
      </c>
      <c r="F11" s="7" vm="77">
        <f ca="1"/>
        <v>415.01</v>
      </c>
      <c r="G11" s="7" vm="78">
        <f ca="1"/>
        <v>42.84</v>
      </c>
      <c r="H11" s="7" vm="79">
        <f ca="1"/>
        <v>276.22000000000003</v>
      </c>
      <c r="I11" s="7" vm="80">
        <f ca="1"/>
        <v>61.19</v>
      </c>
      <c r="J11" s="7" vm="81">
        <f ca="1"/>
        <v>476.99</v>
      </c>
      <c r="K11" s="18">
        <f t="shared" ca="1" si="3"/>
        <v>6.4715220228030626E-2</v>
      </c>
      <c r="L11" s="18">
        <f t="shared" ca="1" si="1"/>
        <v>-3.0266748624149945E-3</v>
      </c>
      <c r="M11" s="18">
        <f t="shared" ca="1" si="1"/>
        <v>0.12123011170137855</v>
      </c>
      <c r="N11" s="18">
        <f t="shared" ca="1" si="1"/>
        <v>1.9503046706761201E-2</v>
      </c>
      <c r="O11" s="18">
        <f t="shared" ca="1" si="1"/>
        <v>3.5314230849602953E-2</v>
      </c>
      <c r="P11" s="18">
        <f t="shared" ca="1" si="1"/>
        <v>-3.576722385863091E-2</v>
      </c>
      <c r="Q11" s="18">
        <f t="shared" ca="1" si="1"/>
        <v>0.10760762616810557</v>
      </c>
      <c r="R11" s="18">
        <f t="shared" ca="1" si="1"/>
        <v>2.2309443808227265E-2</v>
      </c>
      <c r="S11" s="18">
        <f t="shared" ca="1" si="1"/>
        <v>4.1434528950777552E-2</v>
      </c>
    </row>
    <row r="12" spans="1:21" ht="23.25" customHeight="1" x14ac:dyDescent="0.25">
      <c r="A12" s="24">
        <f t="shared" ca="1" si="2"/>
        <v>44562</v>
      </c>
      <c r="B12" s="7" vm="82">
        <f ca="1"/>
        <v>98.32</v>
      </c>
      <c r="C12" s="7" vm="83">
        <f ca="1"/>
        <v>148.6</v>
      </c>
      <c r="D12" s="7" vm="84">
        <f ca="1"/>
        <v>61.01</v>
      </c>
      <c r="E12" s="7" vm="85">
        <f ca="1"/>
        <v>124.42</v>
      </c>
      <c r="F12" s="7" vm="86">
        <f ca="1"/>
        <v>366.98</v>
      </c>
      <c r="G12" s="7" vm="87">
        <f ca="1"/>
        <v>44.76</v>
      </c>
      <c r="H12" s="7" vm="88">
        <f ca="1"/>
        <v>245.39</v>
      </c>
      <c r="I12" s="7" vm="89">
        <f ca="1"/>
        <v>75.959999999999994</v>
      </c>
      <c r="J12" s="7" vm="90">
        <f ca="1"/>
        <v>451.77</v>
      </c>
      <c r="K12" s="18">
        <f t="shared" ca="1" si="3"/>
        <v>-0.17369002640483627</v>
      </c>
      <c r="L12" s="18">
        <f t="shared" ca="1" si="1"/>
        <v>-6.3549640700989993E-2</v>
      </c>
      <c r="M12" s="18">
        <f t="shared" ca="1" si="1"/>
        <v>2.9947338620076321E-2</v>
      </c>
      <c r="N12" s="18">
        <f t="shared" ca="1" si="1"/>
        <v>-9.0241166049610064E-2</v>
      </c>
      <c r="O12" s="18">
        <f t="shared" ca="1" si="1"/>
        <v>-0.12299526566911968</v>
      </c>
      <c r="P12" s="18">
        <f t="shared" ca="1" si="1"/>
        <v>4.3842637864176311E-2</v>
      </c>
      <c r="Q12" s="18">
        <f t="shared" ca="1" si="1"/>
        <v>-0.11834886799951823</v>
      </c>
      <c r="R12" s="18">
        <f t="shared" ca="1" si="1"/>
        <v>0.21622310846963599</v>
      </c>
      <c r="S12" s="18">
        <f t="shared" ca="1" si="1"/>
        <v>-5.4322325541161204E-2</v>
      </c>
    </row>
    <row r="13" spans="1:21" ht="23.25" customHeight="1" x14ac:dyDescent="0.25">
      <c r="A13" s="24">
        <f t="shared" ca="1" si="2"/>
        <v>44593</v>
      </c>
      <c r="B13" s="7" vm="91">
        <f ca="1"/>
        <v>91.79</v>
      </c>
      <c r="C13" s="7" vm="92">
        <f ca="1"/>
        <v>141.80000000000001</v>
      </c>
      <c r="D13" s="7" vm="93">
        <f ca="1"/>
        <v>62.24</v>
      </c>
      <c r="E13" s="7" vm="94">
        <f ca="1"/>
        <v>110.44</v>
      </c>
      <c r="F13" s="7" vm="95">
        <f ca="1"/>
        <v>315.83</v>
      </c>
      <c r="G13" s="7" vm="96">
        <f ca="1"/>
        <v>43.8</v>
      </c>
      <c r="H13" s="7" vm="97">
        <f ca="1"/>
        <v>249.95</v>
      </c>
      <c r="I13" s="7" vm="98">
        <f ca="1"/>
        <v>78.42</v>
      </c>
      <c r="J13" s="7" vm="99">
        <f ca="1"/>
        <v>438.72</v>
      </c>
      <c r="K13" s="18">
        <f t="shared" ca="1" si="3"/>
        <v>-6.8724106026779669E-2</v>
      </c>
      <c r="L13" s="18">
        <f t="shared" ca="1" si="1"/>
        <v>-4.6840518185631536E-2</v>
      </c>
      <c r="M13" s="18">
        <f t="shared" ca="1" si="1"/>
        <v>1.9960094706375133E-2</v>
      </c>
      <c r="N13" s="18">
        <f t="shared" ca="1" si="1"/>
        <v>-0.11919055202492002</v>
      </c>
      <c r="O13" s="18">
        <f t="shared" ca="1" si="1"/>
        <v>-0.15010325651374051</v>
      </c>
      <c r="P13" s="18">
        <f t="shared" ca="1" si="1"/>
        <v>-2.1681066061324052E-2</v>
      </c>
      <c r="Q13" s="18">
        <f t="shared" ca="1" si="1"/>
        <v>1.8412116209314818E-2</v>
      </c>
      <c r="R13" s="18">
        <f t="shared" ca="1" si="1"/>
        <v>3.1872110920100651E-2</v>
      </c>
      <c r="S13" s="18">
        <f t="shared" ca="1" si="1"/>
        <v>-2.9311804392888084E-2</v>
      </c>
    </row>
    <row r="14" spans="1:21" ht="23.25" customHeight="1" x14ac:dyDescent="0.25">
      <c r="A14" s="24">
        <f t="shared" ca="1" si="2"/>
        <v>44621</v>
      </c>
      <c r="B14" s="7" vm="100">
        <f ca="1"/>
        <v>90.97</v>
      </c>
      <c r="C14" s="7" vm="101">
        <f ca="1"/>
        <v>136.32</v>
      </c>
      <c r="D14" s="7" vm="102">
        <f ca="1"/>
        <v>62</v>
      </c>
      <c r="E14" s="7" vm="103">
        <f ca="1"/>
        <v>118.61</v>
      </c>
      <c r="F14" s="7" vm="104">
        <f ca="1"/>
        <v>299.33</v>
      </c>
      <c r="G14" s="7" vm="105">
        <f ca="1"/>
        <v>45.8</v>
      </c>
      <c r="H14" s="7" vm="106">
        <f ca="1"/>
        <v>286.37</v>
      </c>
      <c r="I14" s="7" vm="107">
        <f ca="1"/>
        <v>82.59</v>
      </c>
      <c r="J14" s="7" vm="108">
        <f ca="1"/>
        <v>453.69</v>
      </c>
      <c r="K14" s="18">
        <f t="shared" ca="1" si="3"/>
        <v>-8.9735773970291907E-3</v>
      </c>
      <c r="L14" s="18">
        <f t="shared" ca="1" si="1"/>
        <v>-3.9412551017021596E-2</v>
      </c>
      <c r="M14" s="18">
        <f t="shared" ca="1" si="1"/>
        <v>-3.8634948250445898E-3</v>
      </c>
      <c r="N14" s="18">
        <f t="shared" ca="1" si="1"/>
        <v>7.1368412979230661E-2</v>
      </c>
      <c r="O14" s="18">
        <f t="shared" ca="1" si="1"/>
        <v>-5.3657450428442402E-2</v>
      </c>
      <c r="P14" s="18">
        <f t="shared" ca="1" si="1"/>
        <v>4.465027373773893E-2</v>
      </c>
      <c r="Q14" s="18">
        <f t="shared" ca="1" si="1"/>
        <v>0.13602378313704125</v>
      </c>
      <c r="R14" s="18">
        <f t="shared" ca="1" si="1"/>
        <v>5.1809610958440028E-2</v>
      </c>
      <c r="S14" s="18">
        <f t="shared" ca="1" si="1"/>
        <v>3.35527490568093E-2</v>
      </c>
    </row>
    <row r="15" spans="1:21" ht="23.25" customHeight="1" x14ac:dyDescent="0.25">
      <c r="A15" s="24">
        <f t="shared" ca="1" si="2"/>
        <v>44652</v>
      </c>
      <c r="B15" s="7" vm="109">
        <f ca="1"/>
        <v>74.64</v>
      </c>
      <c r="C15" s="7" vm="110">
        <f ca="1"/>
        <v>119.36</v>
      </c>
      <c r="D15" s="7" vm="111">
        <f ca="1"/>
        <v>64.61</v>
      </c>
      <c r="E15" s="7" vm="112">
        <f ca="1"/>
        <v>109.74</v>
      </c>
      <c r="F15" s="7" vm="113">
        <f ca="1"/>
        <v>300.39999999999998</v>
      </c>
      <c r="G15" s="7" vm="114">
        <f ca="1"/>
        <v>46.72</v>
      </c>
      <c r="H15" s="7" vm="115">
        <f ca="1"/>
        <v>292.13</v>
      </c>
      <c r="I15" s="7" vm="116">
        <f ca="1"/>
        <v>85.25</v>
      </c>
      <c r="J15" s="7" vm="117">
        <f ca="1"/>
        <v>413.56</v>
      </c>
      <c r="K15" s="18">
        <f t="shared" ca="1" si="3"/>
        <v>-0.19785322529488214</v>
      </c>
      <c r="L15" s="18">
        <f t="shared" ca="1" si="1"/>
        <v>-0.13286092662555476</v>
      </c>
      <c r="M15" s="18">
        <f t="shared" ca="1" si="1"/>
        <v>4.1234812524982449E-2</v>
      </c>
      <c r="N15" s="18">
        <f t="shared" ca="1" si="1"/>
        <v>-7.7726868410355171E-2</v>
      </c>
      <c r="O15" s="18">
        <f t="shared" ca="1" si="1"/>
        <v>3.568276175354968E-3</v>
      </c>
      <c r="P15" s="18">
        <f t="shared" ca="1" si="1"/>
        <v>1.9888247399832366E-2</v>
      </c>
      <c r="Q15" s="18">
        <f t="shared" ca="1" si="1"/>
        <v>1.9914227676558371E-2</v>
      </c>
      <c r="R15" s="18">
        <f t="shared" ca="1" si="1"/>
        <v>3.1699508341000542E-2</v>
      </c>
      <c r="S15" s="18">
        <f t="shared" ca="1" si="1"/>
        <v>-9.2611538712266517E-2</v>
      </c>
    </row>
    <row r="16" spans="1:21" ht="23.25" customHeight="1" x14ac:dyDescent="0.25">
      <c r="A16" s="24">
        <f t="shared" ca="1" si="2"/>
        <v>44682</v>
      </c>
      <c r="B16" s="7" vm="118">
        <f ca="1"/>
        <v>78.5</v>
      </c>
      <c r="C16" s="7" vm="119">
        <f ca="1"/>
        <v>132.22999999999999</v>
      </c>
      <c r="D16" s="7" vm="120">
        <f ca="1"/>
        <v>63.38</v>
      </c>
      <c r="E16" s="7" vm="121">
        <f ca="1"/>
        <v>105.62</v>
      </c>
      <c r="F16" s="7" vm="122">
        <f ca="1"/>
        <v>302.75</v>
      </c>
      <c r="G16" s="7" vm="123">
        <f ca="1"/>
        <v>45.86</v>
      </c>
      <c r="H16" s="7" vm="124">
        <f ca="1"/>
        <v>313.44</v>
      </c>
      <c r="I16" s="7" vm="125">
        <f ca="1"/>
        <v>96</v>
      </c>
      <c r="J16" s="7" vm="126">
        <f ca="1"/>
        <v>414.87</v>
      </c>
      <c r="K16" s="18">
        <f t="shared" ca="1" si="3"/>
        <v>5.0422068249274414E-2</v>
      </c>
      <c r="L16" s="18">
        <f t="shared" ca="1" si="1"/>
        <v>0.10239869411328063</v>
      </c>
      <c r="M16" s="18">
        <f t="shared" ca="1" si="1"/>
        <v>-1.9220843307299309E-2</v>
      </c>
      <c r="N16" s="18">
        <f t="shared" ca="1" si="1"/>
        <v>-3.8266184352042133E-2</v>
      </c>
      <c r="O16" s="18">
        <f t="shared" ca="1" si="1"/>
        <v>7.7924625432220515E-3</v>
      </c>
      <c r="P16" s="18">
        <f t="shared" ca="1" si="1"/>
        <v>-1.8579061090213268E-2</v>
      </c>
      <c r="Q16" s="18">
        <f t="shared" ca="1" si="1"/>
        <v>7.0409045523051772E-2</v>
      </c>
      <c r="R16" s="18">
        <f t="shared" ca="1" si="1"/>
        <v>0.11876007530421016</v>
      </c>
      <c r="S16" s="18">
        <f t="shared" ca="1" si="1"/>
        <v>3.162611426184429E-3</v>
      </c>
    </row>
    <row r="17" spans="1:19" ht="23.25" customHeight="1" x14ac:dyDescent="0.25">
      <c r="A17" s="24">
        <f t="shared" ca="1" si="2"/>
        <v>44713</v>
      </c>
      <c r="B17" s="7" vm="127">
        <f ca="1"/>
        <v>76.39</v>
      </c>
      <c r="C17" s="7" vm="128">
        <f ca="1"/>
        <v>112.61</v>
      </c>
      <c r="D17" s="7" vm="129">
        <f ca="1"/>
        <v>62.91</v>
      </c>
      <c r="E17" s="7" vm="130">
        <f ca="1"/>
        <v>98.25</v>
      </c>
      <c r="F17" s="7" vm="131">
        <f ca="1"/>
        <v>274.27</v>
      </c>
      <c r="G17" s="7" vm="132">
        <f ca="1"/>
        <v>36.119999999999997</v>
      </c>
      <c r="H17" s="7" vm="133">
        <f ca="1"/>
        <v>324.23</v>
      </c>
      <c r="I17" s="7" vm="134">
        <f ca="1"/>
        <v>85.64</v>
      </c>
      <c r="J17" s="7" vm="135">
        <f ca="1"/>
        <v>379.15</v>
      </c>
      <c r="K17" s="18">
        <f t="shared" ca="1" si="3"/>
        <v>-2.7246827235094365E-2</v>
      </c>
      <c r="L17" s="18">
        <f t="shared" ca="1" si="1"/>
        <v>-0.16061230885979724</v>
      </c>
      <c r="M17" s="18">
        <f t="shared" ca="1" si="1"/>
        <v>-7.4432206808365004E-3</v>
      </c>
      <c r="N17" s="18">
        <f t="shared" ca="1" si="1"/>
        <v>-7.2332496529416548E-2</v>
      </c>
      <c r="O17" s="18">
        <f t="shared" ca="1" si="1"/>
        <v>-9.8794359774584617E-2</v>
      </c>
      <c r="P17" s="18">
        <f t="shared" ca="1" si="1"/>
        <v>-0.23874654888097371</v>
      </c>
      <c r="Q17" s="18">
        <f t="shared" ca="1" si="1"/>
        <v>3.384518629613345E-2</v>
      </c>
      <c r="R17" s="18">
        <f t="shared" ca="1" si="1"/>
        <v>-0.11419572774635418</v>
      </c>
      <c r="S17" s="18">
        <f t="shared" ca="1" si="1"/>
        <v>-9.0033312997732234E-2</v>
      </c>
    </row>
    <row r="18" spans="1:19" ht="23.25" customHeight="1" x14ac:dyDescent="0.25">
      <c r="A18" s="24">
        <f t="shared" ca="1" si="2"/>
        <v>44743</v>
      </c>
      <c r="B18" s="7" vm="136">
        <f ca="1"/>
        <v>84.78</v>
      </c>
      <c r="C18" s="7" vm="137">
        <f ca="1"/>
        <v>115.36</v>
      </c>
      <c r="D18" s="7" vm="138">
        <f ca="1"/>
        <v>64.17</v>
      </c>
      <c r="E18" s="7" vm="139">
        <f ca="1"/>
        <v>97.62</v>
      </c>
      <c r="F18" s="7" vm="140">
        <f ca="1"/>
        <v>300.94</v>
      </c>
      <c r="G18" s="7" vm="141">
        <f ca="1"/>
        <v>38.119999999999997</v>
      </c>
      <c r="H18" s="7" vm="142">
        <f ca="1"/>
        <v>329.69</v>
      </c>
      <c r="I18" s="7" vm="143">
        <f ca="1"/>
        <v>96.93</v>
      </c>
      <c r="J18" s="7" vm="144">
        <f ca="1"/>
        <v>414.28</v>
      </c>
      <c r="K18" s="18">
        <f t="shared" ca="1" si="3"/>
        <v>0.10420786837122281</v>
      </c>
      <c r="L18" s="18">
        <f t="shared" ca="1" si="1"/>
        <v>2.4127151827704821E-2</v>
      </c>
      <c r="M18" s="18">
        <f t="shared" ca="1" si="1"/>
        <v>1.9830678180485714E-2</v>
      </c>
      <c r="N18" s="18">
        <f t="shared" ca="1" si="1"/>
        <v>-6.4328602903691422E-3</v>
      </c>
      <c r="O18" s="18">
        <f t="shared" ca="1" si="1"/>
        <v>9.2797886672114957E-2</v>
      </c>
      <c r="P18" s="18">
        <f t="shared" ca="1" si="1"/>
        <v>5.3892350237216759E-2</v>
      </c>
      <c r="Q18" s="18">
        <f t="shared" ca="1" si="1"/>
        <v>1.6699678521760183E-2</v>
      </c>
      <c r="R18" s="18">
        <f t="shared" ca="1" si="1"/>
        <v>0.12383660478303464</v>
      </c>
      <c r="S18" s="18">
        <f t="shared" ca="1" si="1"/>
        <v>8.8610168573733578E-2</v>
      </c>
    </row>
    <row r="19" spans="1:19" ht="23.25" customHeight="1" x14ac:dyDescent="0.25">
      <c r="A19" s="24">
        <f t="shared" ca="1" si="2"/>
        <v>44774</v>
      </c>
      <c r="B19" s="7" vm="145">
        <f ca="1"/>
        <v>84.07</v>
      </c>
      <c r="C19" s="7" vm="146">
        <f ca="1"/>
        <v>113.73</v>
      </c>
      <c r="D19" s="7" vm="147">
        <f ca="1"/>
        <v>61.71</v>
      </c>
      <c r="E19" s="7" vm="148">
        <f ca="1"/>
        <v>88.49</v>
      </c>
      <c r="F19" s="7" vm="149">
        <f ca="1"/>
        <v>288.42</v>
      </c>
      <c r="G19" s="7" vm="150">
        <f ca="1"/>
        <v>36.700000000000003</v>
      </c>
      <c r="H19" s="7" vm="151">
        <f ca="1"/>
        <v>301.23</v>
      </c>
      <c r="I19" s="7" vm="152">
        <f ca="1"/>
        <v>95.59</v>
      </c>
      <c r="J19" s="7" vm="153">
        <f ca="1"/>
        <v>397.18</v>
      </c>
      <c r="K19" s="18">
        <f t="shared" ca="1" si="3"/>
        <v>-8.4098807772856558E-3</v>
      </c>
      <c r="L19" s="18">
        <f t="shared" ca="1" si="1"/>
        <v>-1.4230455340285749E-2</v>
      </c>
      <c r="M19" s="18">
        <f t="shared" ca="1" si="1"/>
        <v>-3.908981942944844E-2</v>
      </c>
      <c r="N19" s="18">
        <f t="shared" ca="1" si="1"/>
        <v>-9.819283917974278E-2</v>
      </c>
      <c r="O19" s="18">
        <f t="shared" ca="1" si="1"/>
        <v>-4.2493158196807664E-2</v>
      </c>
      <c r="P19" s="18">
        <f t="shared" ca="1" si="1"/>
        <v>-3.7962323725476678E-2</v>
      </c>
      <c r="Q19" s="18">
        <f t="shared" ca="1" si="1"/>
        <v>-9.0278726454669625E-2</v>
      </c>
      <c r="R19" s="18">
        <f t="shared" ca="1" si="1"/>
        <v>-1.3920856428845399E-2</v>
      </c>
      <c r="S19" s="18">
        <f t="shared" ca="1" si="1"/>
        <v>-4.2152495284659391E-2</v>
      </c>
    </row>
    <row r="20" spans="1:19" ht="23.25" customHeight="1" x14ac:dyDescent="0.25">
      <c r="A20" s="24">
        <f t="shared" ca="1" si="2"/>
        <v>44805</v>
      </c>
      <c r="B20" s="7" vm="154">
        <f ca="1"/>
        <v>84.26</v>
      </c>
      <c r="C20" s="7" vm="155">
        <f ca="1"/>
        <v>104.5</v>
      </c>
      <c r="D20" s="7" vm="156">
        <f ca="1"/>
        <v>56.02</v>
      </c>
      <c r="E20" s="7" vm="157">
        <f ca="1"/>
        <v>80.31</v>
      </c>
      <c r="F20" s="7" vm="158">
        <f ca="1"/>
        <v>275.94</v>
      </c>
      <c r="G20" s="7" vm="159">
        <f ca="1"/>
        <v>30.84</v>
      </c>
      <c r="H20" s="7" vm="160">
        <f ca="1"/>
        <v>323.35000000000002</v>
      </c>
      <c r="I20" s="7" vm="161">
        <f ca="1"/>
        <v>87.31</v>
      </c>
      <c r="J20" s="7" vm="162">
        <f ca="1"/>
        <v>358.65</v>
      </c>
      <c r="K20" s="18">
        <f t="shared" ca="1" si="3"/>
        <v>2.2574714036651829E-3</v>
      </c>
      <c r="L20" s="18">
        <f t="shared" ca="1" si="1"/>
        <v>-8.4640146791487542E-2</v>
      </c>
      <c r="M20" s="18">
        <f t="shared" ca="1" si="1"/>
        <v>-9.6737222501012993E-2</v>
      </c>
      <c r="N20" s="18">
        <f t="shared" ca="1" si="1"/>
        <v>-9.6995405078887903E-2</v>
      </c>
      <c r="O20" s="18">
        <f t="shared" ca="1" si="1"/>
        <v>-4.4234300354036922E-2</v>
      </c>
      <c r="P20" s="18">
        <f t="shared" ca="1" si="1"/>
        <v>-0.17396420636539589</v>
      </c>
      <c r="Q20" s="18">
        <f t="shared" ca="1" si="1"/>
        <v>7.0861235333147213E-2</v>
      </c>
      <c r="R20" s="18">
        <f t="shared" ca="1" si="1"/>
        <v>-9.0603208252954939E-2</v>
      </c>
      <c r="S20" s="18">
        <f t="shared" ca="1" si="1"/>
        <v>-0.10204259586357527</v>
      </c>
    </row>
    <row r="21" spans="1:19" ht="23.25" customHeight="1" x14ac:dyDescent="0.25">
      <c r="A21" s="24">
        <f t="shared" ca="1" si="2"/>
        <v>44835</v>
      </c>
      <c r="B21" s="7" vm="163">
        <f ca="1"/>
        <v>86.59</v>
      </c>
      <c r="C21" s="7" vm="164">
        <f ca="1"/>
        <v>125.88</v>
      </c>
      <c r="D21" s="7" vm="165">
        <f ca="1"/>
        <v>59.85</v>
      </c>
      <c r="E21" s="7" vm="166">
        <f ca="1"/>
        <v>88.04</v>
      </c>
      <c r="F21" s="7" vm="167">
        <f ca="1"/>
        <v>296.13</v>
      </c>
      <c r="G21" s="7" vm="168">
        <f ca="1"/>
        <v>36.35</v>
      </c>
      <c r="H21" s="7" vm="169">
        <f ca="1"/>
        <v>362.09</v>
      </c>
      <c r="I21" s="7" vm="170">
        <f ca="1"/>
        <v>110.81</v>
      </c>
      <c r="J21" s="7" vm="171">
        <f ca="1"/>
        <v>387.79</v>
      </c>
      <c r="K21" s="18">
        <f t="shared" ca="1" si="3"/>
        <v>2.7277078908839323E-2</v>
      </c>
      <c r="L21" s="18">
        <f t="shared" ca="1" si="1"/>
        <v>0.18614200079134038</v>
      </c>
      <c r="M21" s="18">
        <f t="shared" ca="1" si="1"/>
        <v>6.6132662172019629E-2</v>
      </c>
      <c r="N21" s="18">
        <f t="shared" ca="1" si="1"/>
        <v>9.1897110457890036E-2</v>
      </c>
      <c r="O21" s="18">
        <f t="shared" ca="1" si="1"/>
        <v>7.0615096318018822E-2</v>
      </c>
      <c r="P21" s="18">
        <f t="shared" ca="1" si="1"/>
        <v>0.16438165528439966</v>
      </c>
      <c r="Q21" s="18">
        <f t="shared" ca="1" si="1"/>
        <v>0.11315747181717094</v>
      </c>
      <c r="R21" s="18">
        <f t="shared" ca="1" si="1"/>
        <v>0.23835201912551779</v>
      </c>
      <c r="S21" s="18">
        <f t="shared" ca="1" si="1"/>
        <v>7.811697341575051E-2</v>
      </c>
    </row>
    <row r="22" spans="1:19" ht="23.25" customHeight="1" x14ac:dyDescent="0.25">
      <c r="A22" s="24">
        <f t="shared" ca="1" si="2"/>
        <v>44866</v>
      </c>
      <c r="B22" s="7" vm="172">
        <f ca="1"/>
        <v>102.2</v>
      </c>
      <c r="C22" s="7" vm="173">
        <f ca="1"/>
        <v>138.18</v>
      </c>
      <c r="D22" s="7" vm="174">
        <f ca="1"/>
        <v>63.61</v>
      </c>
      <c r="E22" s="7" vm="175">
        <f ca="1"/>
        <v>92.99</v>
      </c>
      <c r="F22" s="7" vm="176">
        <f ca="1"/>
        <v>323.99</v>
      </c>
      <c r="G22" s="7" vm="177">
        <f ca="1"/>
        <v>39.909999999999997</v>
      </c>
      <c r="H22" s="7" vm="178">
        <f ca="1"/>
        <v>371.08</v>
      </c>
      <c r="I22" s="7" vm="179">
        <f ca="1"/>
        <v>111.34</v>
      </c>
      <c r="J22" s="7" vm="180">
        <f ca="1"/>
        <v>409.32</v>
      </c>
      <c r="K22" s="18">
        <f t="shared" ca="1" si="3"/>
        <v>0.16574734230989416</v>
      </c>
      <c r="L22" s="18">
        <f t="shared" ca="1" si="1"/>
        <v>9.3228110864442743E-2</v>
      </c>
      <c r="M22" s="18">
        <f t="shared" ca="1" si="1"/>
        <v>6.0929258686730665E-2</v>
      </c>
      <c r="N22" s="18">
        <f t="shared" ca="1" si="1"/>
        <v>5.4700703831844902E-2</v>
      </c>
      <c r="O22" s="18">
        <f t="shared" ca="1" si="1"/>
        <v>8.9914104020583127E-2</v>
      </c>
      <c r="P22" s="18">
        <f t="shared" ca="1" si="1"/>
        <v>9.3432715081114087E-2</v>
      </c>
      <c r="Q22" s="18">
        <f t="shared" ca="1" si="1"/>
        <v>2.4524873075297809E-2</v>
      </c>
      <c r="R22" s="18">
        <f t="shared" ca="1" si="1"/>
        <v>4.7715598071276961E-3</v>
      </c>
      <c r="S22" s="18">
        <f t="shared" ca="1" si="1"/>
        <v>5.4033290230360631E-2</v>
      </c>
    </row>
    <row r="23" spans="1:19" ht="23.25" customHeight="1" x14ac:dyDescent="0.25">
      <c r="A23" s="24">
        <f t="shared" ca="1" si="2"/>
        <v>44896</v>
      </c>
      <c r="B23" s="7" vm="181">
        <f ca="1"/>
        <v>99.2</v>
      </c>
      <c r="C23" s="7" vm="182">
        <f ca="1"/>
        <v>134.1</v>
      </c>
      <c r="D23" s="7" vm="174">
        <f ca="1"/>
        <v>63.61</v>
      </c>
      <c r="E23" s="7" vm="183">
        <f ca="1"/>
        <v>92.29</v>
      </c>
      <c r="F23" s="7" vm="184">
        <f ca="1"/>
        <v>315.86</v>
      </c>
      <c r="G23" s="7" vm="185">
        <f ca="1"/>
        <v>33.67</v>
      </c>
      <c r="H23" s="7" vm="186">
        <f ca="1"/>
        <v>365.84</v>
      </c>
      <c r="I23" s="7" vm="187">
        <f ca="1"/>
        <v>110.3</v>
      </c>
      <c r="J23" s="7" vm="188">
        <f ca="1"/>
        <v>384.21</v>
      </c>
      <c r="K23" s="18">
        <f t="shared" ca="1" si="3"/>
        <v>-2.9793663478777006E-2</v>
      </c>
      <c r="L23" s="18">
        <f t="shared" ca="1" si="1"/>
        <v>-2.9971392773016043E-2</v>
      </c>
      <c r="M23" s="18">
        <f t="shared" ca="1" si="1"/>
        <v>0</v>
      </c>
      <c r="N23" s="18">
        <f t="shared" ca="1" si="1"/>
        <v>-7.5561672126204333E-3</v>
      </c>
      <c r="O23" s="18">
        <f t="shared" ca="1" si="1"/>
        <v>-2.5413573676580817E-2</v>
      </c>
      <c r="P23" s="18">
        <f t="shared" ca="1" si="1"/>
        <v>-0.17001968588765923</v>
      </c>
      <c r="Q23" s="18">
        <f t="shared" ca="1" si="1"/>
        <v>-1.4221593435271076E-2</v>
      </c>
      <c r="R23" s="18">
        <f t="shared" ca="1" si="1"/>
        <v>-9.3846564959050322E-3</v>
      </c>
      <c r="S23" s="18">
        <f t="shared" ca="1" si="1"/>
        <v>-6.3307968112464655E-2</v>
      </c>
    </row>
    <row r="24" spans="1:19" ht="23.25" customHeight="1" x14ac:dyDescent="0.25">
      <c r="A24" s="24">
        <f t="shared" ca="1" si="2"/>
        <v>44927</v>
      </c>
      <c r="B24" s="7" vm="189">
        <f ca="1"/>
        <v>109.14</v>
      </c>
      <c r="C24" s="7" vm="190">
        <f ca="1"/>
        <v>139.96</v>
      </c>
      <c r="D24" s="7" vm="191">
        <f ca="1"/>
        <v>61.32</v>
      </c>
      <c r="E24" s="7" vm="192">
        <f ca="1"/>
        <v>98.88</v>
      </c>
      <c r="F24" s="7" vm="193">
        <f ca="1"/>
        <v>324.17</v>
      </c>
      <c r="G24" s="7" vm="194">
        <f ca="1"/>
        <v>35.770000000000003</v>
      </c>
      <c r="H24" s="7" vm="195">
        <f ca="1"/>
        <v>344.15</v>
      </c>
      <c r="I24" s="7" vm="196">
        <f ca="1"/>
        <v>116.01</v>
      </c>
      <c r="J24" s="7" vm="197">
        <f ca="1"/>
        <v>408.31</v>
      </c>
      <c r="K24" s="18">
        <f t="shared" ca="1" si="3"/>
        <v>9.5493447467258685E-2</v>
      </c>
      <c r="L24" s="18">
        <f t="shared" ca="1" si="1"/>
        <v>4.277087721185463E-2</v>
      </c>
      <c r="M24" s="18">
        <f t="shared" ca="1" si="1"/>
        <v>-3.6664636687099482E-2</v>
      </c>
      <c r="N24" s="18">
        <f t="shared" ca="1" si="1"/>
        <v>6.8971200431895169E-2</v>
      </c>
      <c r="O24" s="18">
        <f t="shared" ca="1" si="1"/>
        <v>2.5968992106065344E-2</v>
      </c>
      <c r="P24" s="18">
        <f t="shared" ca="1" si="1"/>
        <v>6.050232009794336E-2</v>
      </c>
      <c r="Q24" s="18">
        <f t="shared" ca="1" si="1"/>
        <v>-6.1118470505426549E-2</v>
      </c>
      <c r="R24" s="18">
        <f t="shared" ca="1" si="1"/>
        <v>5.047246802785877E-2</v>
      </c>
      <c r="S24" s="18">
        <f t="shared" ca="1" si="1"/>
        <v>6.0837411714769481E-2</v>
      </c>
    </row>
    <row r="25" spans="1:19" ht="23.25" customHeight="1" x14ac:dyDescent="0.25">
      <c r="A25" s="24">
        <f t="shared" ca="1" si="2"/>
        <v>44958</v>
      </c>
      <c r="B25" s="7" vm="198">
        <f ca="1"/>
        <v>102.09</v>
      </c>
      <c r="C25" s="7" vm="199">
        <f ca="1"/>
        <v>143.35</v>
      </c>
      <c r="D25" s="7" vm="200">
        <f ca="1"/>
        <v>59.51</v>
      </c>
      <c r="E25" s="7" vm="201">
        <f ca="1"/>
        <v>98.13</v>
      </c>
      <c r="F25" s="7" vm="202">
        <f ca="1"/>
        <v>296.54000000000002</v>
      </c>
      <c r="G25" s="7" vm="203">
        <f ca="1"/>
        <v>33.58</v>
      </c>
      <c r="H25" s="7" vm="204">
        <f ca="1"/>
        <v>311.22000000000003</v>
      </c>
      <c r="I25" s="7" vm="205">
        <f ca="1"/>
        <v>109.91</v>
      </c>
      <c r="J25" s="7" vm="206">
        <f ca="1"/>
        <v>397.97</v>
      </c>
      <c r="K25" s="18">
        <f t="shared" ca="1" si="3"/>
        <v>-6.6776684577161766E-2</v>
      </c>
      <c r="L25" s="18">
        <f t="shared" ca="1" si="1"/>
        <v>2.3932524829891395E-2</v>
      </c>
      <c r="M25" s="18">
        <f t="shared" ca="1" si="1"/>
        <v>-2.9961688346852693E-2</v>
      </c>
      <c r="N25" s="18">
        <f t="shared" ca="1" si="1"/>
        <v>-7.6138634909783901E-3</v>
      </c>
      <c r="O25" s="18">
        <f t="shared" ca="1" si="1"/>
        <v>-8.908595295809385E-2</v>
      </c>
      <c r="P25" s="18">
        <f t="shared" ca="1" si="1"/>
        <v>-6.3178901621531794E-2</v>
      </c>
      <c r="Q25" s="18">
        <f t="shared" ca="1" si="1"/>
        <v>-0.10057755125300921</v>
      </c>
      <c r="R25" s="18">
        <f t="shared" ca="1" si="1"/>
        <v>-5.401454520650651E-2</v>
      </c>
      <c r="S25" s="18">
        <f t="shared" ca="1" si="1"/>
        <v>-2.5650064261823993E-2</v>
      </c>
    </row>
    <row r="26" spans="1:19" ht="23.25" customHeight="1" x14ac:dyDescent="0.25">
      <c r="A26" s="24">
        <f t="shared" ca="1" si="2"/>
        <v>44986</v>
      </c>
      <c r="B26" s="7" vm="207">
        <f ca="1"/>
        <v>104.13</v>
      </c>
      <c r="C26" s="7" vm="208">
        <f ca="1"/>
        <v>130.31</v>
      </c>
      <c r="D26" s="7" vm="209">
        <f ca="1"/>
        <v>62.03</v>
      </c>
      <c r="E26" s="7" vm="210">
        <f ca="1"/>
        <v>100.92</v>
      </c>
      <c r="F26" s="7" vm="211">
        <f ca="1"/>
        <v>295.12</v>
      </c>
      <c r="G26" s="7" vm="212">
        <f ca="1"/>
        <v>32.54</v>
      </c>
      <c r="H26" s="7" vm="213">
        <f ca="1"/>
        <v>343.42</v>
      </c>
      <c r="I26" s="7" vm="214">
        <f ca="1"/>
        <v>109.66</v>
      </c>
      <c r="J26" s="7" vm="215">
        <f ca="1"/>
        <v>411.08</v>
      </c>
      <c r="K26" s="18">
        <f t="shared" ca="1" si="3"/>
        <v>1.9785341360880511E-2</v>
      </c>
      <c r="L26" s="18">
        <f t="shared" ca="1" si="1"/>
        <v>-9.5372965172564189E-2</v>
      </c>
      <c r="M26" s="18">
        <f t="shared" ca="1" si="1"/>
        <v>4.1473773328265615E-2</v>
      </c>
      <c r="N26" s="18">
        <f t="shared" ca="1" si="1"/>
        <v>2.8034993554454733E-2</v>
      </c>
      <c r="O26" s="18">
        <f t="shared" ca="1" si="1"/>
        <v>-4.8000633014599154E-3</v>
      </c>
      <c r="P26" s="18">
        <f t="shared" ca="1" si="1"/>
        <v>-3.1460549858502947E-2</v>
      </c>
      <c r="Q26" s="18">
        <f t="shared" ca="1" si="1"/>
        <v>9.8454130294292605E-2</v>
      </c>
      <c r="R26" s="18">
        <f t="shared" ca="1" si="1"/>
        <v>-2.2771791049065815E-3</v>
      </c>
      <c r="S26" s="18">
        <f t="shared" ca="1" si="1"/>
        <v>3.2411217197836843E-2</v>
      </c>
    </row>
    <row r="27" spans="1:19" ht="23.25" customHeight="1" x14ac:dyDescent="0.25">
      <c r="A27" s="24">
        <f t="shared" ca="1" si="2"/>
        <v>45017</v>
      </c>
      <c r="B27" s="7" vm="216">
        <f ca="1"/>
        <v>114.29</v>
      </c>
      <c r="C27" s="7" vm="217">
        <f ca="1"/>
        <v>138.24</v>
      </c>
      <c r="D27" s="7" vm="218">
        <f ca="1"/>
        <v>64.150000000000006</v>
      </c>
      <c r="E27" s="7" vm="219">
        <f ca="1"/>
        <v>98.17</v>
      </c>
      <c r="F27" s="7" vm="220">
        <f ca="1"/>
        <v>300.54000000000002</v>
      </c>
      <c r="G27" s="7" vm="221">
        <f ca="1"/>
        <v>30.29</v>
      </c>
      <c r="H27" s="7" vm="222">
        <f ca="1"/>
        <v>395.86</v>
      </c>
      <c r="I27" s="7" vm="223">
        <f ca="1"/>
        <v>118.34</v>
      </c>
      <c r="J27" s="7" vm="224">
        <f ca="1"/>
        <v>417.66</v>
      </c>
      <c r="K27" s="18">
        <f t="shared" ca="1" si="3"/>
        <v>9.3098959367702044E-2</v>
      </c>
      <c r="L27" s="18">
        <f t="shared" ca="1" si="1"/>
        <v>5.9075077898930899E-2</v>
      </c>
      <c r="M27" s="18">
        <f t="shared" ca="1" si="1"/>
        <v>3.3605952076619323E-2</v>
      </c>
      <c r="N27" s="18">
        <f t="shared" ca="1" si="1"/>
        <v>-2.7627454068426937E-2</v>
      </c>
      <c r="O27" s="18">
        <f t="shared" ca="1" si="1"/>
        <v>1.8198803309160256E-2</v>
      </c>
      <c r="P27" s="18">
        <f t="shared" ca="1" si="1"/>
        <v>-7.1652476751745756E-2</v>
      </c>
      <c r="Q27" s="18">
        <f t="shared" ca="1" si="1"/>
        <v>0.14210642550693256</v>
      </c>
      <c r="R27" s="18">
        <f t="shared" ca="1" si="1"/>
        <v>7.6177167272645688E-2</v>
      </c>
      <c r="S27" s="18">
        <f t="shared" ca="1" si="1"/>
        <v>1.5879861651757834E-2</v>
      </c>
    </row>
    <row r="28" spans="1:19" ht="23.25" customHeight="1" x14ac:dyDescent="0.25">
      <c r="A28" s="24">
        <f t="shared" ca="1" si="2"/>
        <v>45047</v>
      </c>
      <c r="B28" s="7" vm="225">
        <f ca="1"/>
        <v>97.64</v>
      </c>
      <c r="C28" s="7" vm="226">
        <f ca="1"/>
        <v>135.71</v>
      </c>
      <c r="D28" s="7" vm="227">
        <f ca="1"/>
        <v>59.66</v>
      </c>
      <c r="E28" s="7" vm="228">
        <f ca="1"/>
        <v>103.15</v>
      </c>
      <c r="F28" s="7" vm="229">
        <f ca="1"/>
        <v>283.45</v>
      </c>
      <c r="G28" s="7" vm="230">
        <f ca="1"/>
        <v>29.87</v>
      </c>
      <c r="H28" s="7" vm="231">
        <f ca="1"/>
        <v>429.46</v>
      </c>
      <c r="I28" s="7" vm="232">
        <f ca="1"/>
        <v>102.18</v>
      </c>
      <c r="J28" s="7" vm="233">
        <f ca="1"/>
        <v>419.43</v>
      </c>
      <c r="K28" s="18">
        <f t="shared" ca="1" si="3"/>
        <v>-0.15745183238474725</v>
      </c>
      <c r="L28" s="18">
        <f t="shared" ca="1" si="1"/>
        <v>-1.8471048962466177E-2</v>
      </c>
      <c r="M28" s="18">
        <f t="shared" ca="1" si="1"/>
        <v>-7.256231197504312E-2</v>
      </c>
      <c r="N28" s="18">
        <f t="shared" ca="1" si="1"/>
        <v>4.9483569812830766E-2</v>
      </c>
      <c r="O28" s="18">
        <f t="shared" ca="1" si="1"/>
        <v>-5.8545115827267874E-2</v>
      </c>
      <c r="P28" s="18">
        <f t="shared" ca="1" si="1"/>
        <v>-1.3962992811127494E-2</v>
      </c>
      <c r="Q28" s="18">
        <f t="shared" ca="1" si="1"/>
        <v>8.146799214639712E-2</v>
      </c>
      <c r="R28" s="18">
        <f t="shared" ca="1" si="1"/>
        <v>-0.14682587334589603</v>
      </c>
      <c r="S28" s="18">
        <f t="shared" ca="1" si="1"/>
        <v>4.2289422592128138E-3</v>
      </c>
    </row>
    <row r="29" spans="1:19" ht="23.25" customHeight="1" x14ac:dyDescent="0.25">
      <c r="A29" s="24">
        <f t="shared" ca="1" si="2"/>
        <v>45078</v>
      </c>
      <c r="B29" s="7" vm="234">
        <f ca="1"/>
        <v>99.06</v>
      </c>
      <c r="C29" s="7" vm="235">
        <f ca="1"/>
        <v>145.44</v>
      </c>
      <c r="D29" s="7" vm="236">
        <f ca="1"/>
        <v>60.22</v>
      </c>
      <c r="E29" s="7" vm="237">
        <f ca="1"/>
        <v>104.29</v>
      </c>
      <c r="F29" s="7" vm="238">
        <f ca="1"/>
        <v>310.64</v>
      </c>
      <c r="G29" s="7" vm="239">
        <f ca="1"/>
        <v>36.21</v>
      </c>
      <c r="H29" s="7" vm="240">
        <f ca="1"/>
        <v>468.98</v>
      </c>
      <c r="I29" s="7" vm="241">
        <f ca="1"/>
        <v>107.25</v>
      </c>
      <c r="J29" s="7" vm="242">
        <f ca="1"/>
        <v>445.71</v>
      </c>
      <c r="K29" s="18">
        <f t="shared" ca="1" si="3"/>
        <v>1.4438481635332429E-2</v>
      </c>
      <c r="L29" s="18">
        <f t="shared" ca="1" si="1"/>
        <v>6.9243374335889354E-2</v>
      </c>
      <c r="M29" s="18">
        <f t="shared" ca="1" si="1"/>
        <v>9.3427439669854038E-3</v>
      </c>
      <c r="N29" s="18">
        <f t="shared" ca="1" si="1"/>
        <v>1.0991240615860714E-2</v>
      </c>
      <c r="O29" s="18">
        <f t="shared" ca="1" si="1"/>
        <v>9.1598944653099257E-2</v>
      </c>
      <c r="P29" s="18">
        <f t="shared" ca="1" si="1"/>
        <v>0.19248069154953143</v>
      </c>
      <c r="Q29" s="18">
        <f t="shared" ca="1" si="1"/>
        <v>8.803151807477444E-2</v>
      </c>
      <c r="R29" s="18">
        <f t="shared" ca="1" si="1"/>
        <v>4.8426593905474463E-2</v>
      </c>
      <c r="S29" s="18">
        <f t="shared" ca="1" si="1"/>
        <v>6.0771869649528194E-2</v>
      </c>
    </row>
    <row r="30" spans="1:19" ht="23.25" customHeight="1" x14ac:dyDescent="0.25">
      <c r="A30" s="24">
        <f t="shared" ca="1" si="2"/>
        <v>45108</v>
      </c>
      <c r="B30" s="7" vm="243">
        <f ca="1"/>
        <v>101.57</v>
      </c>
      <c r="C30" s="7" vm="244">
        <f ca="1"/>
        <v>157.96</v>
      </c>
      <c r="D30" s="7" vm="245">
        <f ca="1"/>
        <v>61.93</v>
      </c>
      <c r="E30" s="7" vm="246">
        <f ca="1"/>
        <v>105.89</v>
      </c>
      <c r="F30" s="7" vm="247">
        <f ca="1"/>
        <v>333.84</v>
      </c>
      <c r="G30" s="7" vm="248">
        <f ca="1"/>
        <v>34.159999999999997</v>
      </c>
      <c r="H30" s="7" vm="249">
        <f ca="1"/>
        <v>454.55</v>
      </c>
      <c r="I30" s="7" vm="250">
        <f ca="1"/>
        <v>107.24</v>
      </c>
      <c r="J30" s="7" vm="251">
        <f ca="1"/>
        <v>460.18</v>
      </c>
      <c r="K30" s="18">
        <f t="shared" ca="1" si="3"/>
        <v>2.5022488791318104E-2</v>
      </c>
      <c r="L30" s="18">
        <f t="shared" ca="1" si="1"/>
        <v>8.2578205989279937E-2</v>
      </c>
      <c r="M30" s="18">
        <f t="shared" ca="1" si="1"/>
        <v>2.8000191896381737E-2</v>
      </c>
      <c r="N30" s="18">
        <f t="shared" ca="1" si="1"/>
        <v>1.522533930924156E-2</v>
      </c>
      <c r="O30" s="18">
        <f t="shared" ca="1" si="1"/>
        <v>7.2027150859885203E-2</v>
      </c>
      <c r="P30" s="18">
        <f t="shared" ca="1" si="1"/>
        <v>-5.8279954857180863E-2</v>
      </c>
      <c r="Q30" s="18">
        <f t="shared" ca="1" si="1"/>
        <v>-3.1252205045893308E-2</v>
      </c>
      <c r="R30" s="18">
        <f t="shared" ca="1" si="1"/>
        <v>-9.3244440367901328E-5</v>
      </c>
      <c r="S30" s="18">
        <f t="shared" ca="1" si="1"/>
        <v>3.1949200974015553E-2</v>
      </c>
    </row>
    <row r="31" spans="1:19" ht="23.25" customHeight="1" x14ac:dyDescent="0.25">
      <c r="A31" s="24">
        <f t="shared" ca="1" si="2"/>
        <v>45139</v>
      </c>
      <c r="B31" s="7" vm="252">
        <f ca="1"/>
        <v>97.44</v>
      </c>
      <c r="C31" s="7" vm="253">
        <f ca="1"/>
        <v>146.33000000000001</v>
      </c>
      <c r="D31" s="7" vm="254">
        <f ca="1"/>
        <v>59.83</v>
      </c>
      <c r="E31" s="7" vm="255">
        <f ca="1"/>
        <v>106.02</v>
      </c>
      <c r="F31" s="7" vm="256">
        <f ca="1"/>
        <v>330.3</v>
      </c>
      <c r="G31" s="7" vm="257">
        <f ca="1"/>
        <v>31.6</v>
      </c>
      <c r="H31" s="7" vm="258">
        <f ca="1"/>
        <v>554.20000000000005</v>
      </c>
      <c r="I31" s="7" vm="259">
        <f ca="1"/>
        <v>111.19</v>
      </c>
      <c r="J31" s="7" vm="260">
        <f ca="1"/>
        <v>452.69</v>
      </c>
      <c r="K31" s="18">
        <f t="shared" ca="1" si="3"/>
        <v>-4.1511411989822791E-2</v>
      </c>
      <c r="L31" s="18">
        <f t="shared" ca="1" si="1"/>
        <v>-7.6477491314113563E-2</v>
      </c>
      <c r="M31" s="18">
        <f t="shared" ca="1" si="1"/>
        <v>-3.4497507548029098E-2</v>
      </c>
      <c r="N31" s="18">
        <f t="shared" ca="1" si="1"/>
        <v>1.2269361172968524E-3</v>
      </c>
      <c r="O31" s="18">
        <f t="shared" ca="1" si="1"/>
        <v>-1.0660503886553025E-2</v>
      </c>
      <c r="P31" s="18">
        <f t="shared" ca="1" si="1"/>
        <v>-7.7898248327502528E-2</v>
      </c>
      <c r="Q31" s="18">
        <f t="shared" ca="1" si="1"/>
        <v>0.19821771386101078</v>
      </c>
      <c r="R31" s="18">
        <f t="shared" ca="1" si="1"/>
        <v>3.6171136347399289E-2</v>
      </c>
      <c r="S31" s="18">
        <f t="shared" ca="1" si="1"/>
        <v>-1.641015277757191E-2</v>
      </c>
    </row>
    <row r="32" spans="1:19" ht="23.25" customHeight="1" x14ac:dyDescent="0.25">
      <c r="A32" s="24">
        <f t="shared" ca="1" si="2"/>
        <v>45170</v>
      </c>
      <c r="B32" s="7" vm="261">
        <f ca="1"/>
        <v>91.27</v>
      </c>
      <c r="C32" s="7" vm="262">
        <f ca="1"/>
        <v>145.02000000000001</v>
      </c>
      <c r="D32" s="7" vm="263">
        <f ca="1"/>
        <v>55.98</v>
      </c>
      <c r="E32" s="7" vm="264">
        <f ca="1"/>
        <v>105.2</v>
      </c>
      <c r="F32" s="7" vm="265">
        <f ca="1"/>
        <v>302.16000000000003</v>
      </c>
      <c r="G32" s="7" vm="266">
        <f ca="1"/>
        <v>27.07</v>
      </c>
      <c r="H32" s="7" vm="267">
        <f ca="1"/>
        <v>537.13</v>
      </c>
      <c r="I32" s="7" vm="268">
        <f ca="1"/>
        <v>117.58</v>
      </c>
      <c r="J32" s="7" vm="269">
        <f ca="1"/>
        <v>429.43</v>
      </c>
      <c r="K32" s="18">
        <f t="shared" ca="1" si="3"/>
        <v>-6.5414657432801018E-2</v>
      </c>
      <c r="L32" s="18">
        <f t="shared" ca="1" si="1"/>
        <v>-8.9926811608884646E-3</v>
      </c>
      <c r="M32" s="18">
        <f t="shared" ca="1" si="1"/>
        <v>-6.6512723314632982E-2</v>
      </c>
      <c r="N32" s="18">
        <f t="shared" ca="1" si="1"/>
        <v>-7.7644552560505063E-3</v>
      </c>
      <c r="O32" s="18">
        <f t="shared" ca="1" si="1"/>
        <v>-8.9044653992542466E-2</v>
      </c>
      <c r="P32" s="18">
        <f t="shared" ca="1" si="1"/>
        <v>-0.15473101696665659</v>
      </c>
      <c r="Q32" s="18">
        <f t="shared" ca="1" si="1"/>
        <v>-3.1285481556938645E-2</v>
      </c>
      <c r="R32" s="18">
        <f t="shared" ca="1" si="1"/>
        <v>5.5878503258951009E-2</v>
      </c>
      <c r="S32" s="18">
        <f t="shared" ca="1" si="1"/>
        <v>-5.2748816581768214E-2</v>
      </c>
    </row>
    <row r="33" spans="1:19" ht="23.25" customHeight="1" x14ac:dyDescent="0.25">
      <c r="A33" s="24">
        <f t="shared" ca="1" si="2"/>
        <v>45200</v>
      </c>
      <c r="B33" s="7" vm="270">
        <f ca="1"/>
        <v>92.24</v>
      </c>
      <c r="C33" s="7" vm="271">
        <f ca="1"/>
        <v>139.06</v>
      </c>
      <c r="D33" s="7" vm="272">
        <f ca="1"/>
        <v>56.49</v>
      </c>
      <c r="E33" s="7" vm="273">
        <f ca="1"/>
        <v>102.53</v>
      </c>
      <c r="F33" s="7" vm="274">
        <f ca="1"/>
        <v>284.69</v>
      </c>
      <c r="G33" s="7" vm="275">
        <f ca="1"/>
        <v>22.23</v>
      </c>
      <c r="H33" s="7" vm="276">
        <f ca="1"/>
        <v>553.92999999999995</v>
      </c>
      <c r="I33" s="7" vm="277">
        <f ca="1"/>
        <v>105.85</v>
      </c>
      <c r="J33" s="7" vm="278">
        <f ca="1"/>
        <v>419.94</v>
      </c>
      <c r="K33" s="18">
        <f t="shared" ca="1" si="3"/>
        <v>1.0571729432017668E-2</v>
      </c>
      <c r="L33" s="18">
        <f t="shared" ca="1" si="1"/>
        <v>-4.1966169272574932E-2</v>
      </c>
      <c r="M33" s="18">
        <f t="shared" ca="1" si="1"/>
        <v>9.0691472498633692E-3</v>
      </c>
      <c r="N33" s="18">
        <f t="shared" ca="1" si="1"/>
        <v>-2.570786162160961E-2</v>
      </c>
      <c r="O33" s="18">
        <f t="shared" ca="1" si="1"/>
        <v>-5.9555809429755024E-2</v>
      </c>
      <c r="P33" s="18">
        <f t="shared" ca="1" si="1"/>
        <v>-0.19698337565010457</v>
      </c>
      <c r="Q33" s="18">
        <f t="shared" ca="1" si="1"/>
        <v>3.0798174101417886E-2</v>
      </c>
      <c r="R33" s="18">
        <f t="shared" ca="1" si="1"/>
        <v>-0.10509595539323481</v>
      </c>
      <c r="S33" s="18">
        <f t="shared" ca="1" si="1"/>
        <v>-2.2346904002543255E-2</v>
      </c>
    </row>
    <row r="34" spans="1:19" ht="23.25" customHeight="1" x14ac:dyDescent="0.25">
      <c r="A34" s="24">
        <f t="shared" ca="1" si="2"/>
        <v>45231</v>
      </c>
      <c r="B34" s="7" vm="279">
        <f ca="1"/>
        <v>99.3</v>
      </c>
      <c r="C34" s="7" vm="280">
        <f ca="1"/>
        <v>156.08000000000001</v>
      </c>
      <c r="D34" s="7" vm="281">
        <f ca="1"/>
        <v>58.44</v>
      </c>
      <c r="E34" s="7" vm="282">
        <f ca="1"/>
        <v>122.24</v>
      </c>
      <c r="F34" s="7" vm="283">
        <f ca="1"/>
        <v>313.49</v>
      </c>
      <c r="G34" s="7" vm="284">
        <f ca="1"/>
        <v>25.57</v>
      </c>
      <c r="H34" s="7" vm="285">
        <f ca="1"/>
        <v>591.04</v>
      </c>
      <c r="I34" s="7" vm="286">
        <f ca="1"/>
        <v>102.74</v>
      </c>
      <c r="J34" s="7" vm="287">
        <f ca="1"/>
        <v>458.42</v>
      </c>
      <c r="K34" s="18">
        <f t="shared" ca="1" si="3"/>
        <v>7.3751695090323269E-2</v>
      </c>
      <c r="L34" s="18">
        <f t="shared" ca="1" si="1"/>
        <v>0.11546320164398398</v>
      </c>
      <c r="M34" s="18">
        <f t="shared" ca="1" si="1"/>
        <v>3.3936955545327878E-2</v>
      </c>
      <c r="N34" s="18">
        <f t="shared" ca="1" si="1"/>
        <v>0.17583088673621036</v>
      </c>
      <c r="O34" s="18">
        <f t="shared" ca="1" si="1"/>
        <v>9.6366592663144596E-2</v>
      </c>
      <c r="P34" s="18">
        <f t="shared" ca="1" si="1"/>
        <v>0.13997706132699012</v>
      </c>
      <c r="Q34" s="18">
        <f t="shared" ca="1" si="1"/>
        <v>6.484537203751771E-2</v>
      </c>
      <c r="R34" s="18">
        <f t="shared" ca="1" si="1"/>
        <v>-2.9821472541752349E-2</v>
      </c>
      <c r="S34" s="18">
        <f t="shared" ca="1" si="1"/>
        <v>8.7673950536716935E-2</v>
      </c>
    </row>
    <row r="35" spans="1:19" ht="23.25" customHeight="1" x14ac:dyDescent="0.25">
      <c r="A35" s="24">
        <f t="shared" ca="1" si="2"/>
        <v>45261</v>
      </c>
      <c r="B35" s="7" vm="288">
        <f ca="1"/>
        <v>96.01</v>
      </c>
      <c r="C35" s="7" vm="289">
        <f ca="1"/>
        <v>170.1</v>
      </c>
      <c r="D35" s="7" vm="290">
        <f ca="1"/>
        <v>58.93</v>
      </c>
      <c r="E35" s="7" vm="291">
        <f ca="1"/>
        <v>128.54</v>
      </c>
      <c r="F35" s="7" vm="292">
        <f ca="1"/>
        <v>346.55</v>
      </c>
      <c r="G35" s="7" vm="293">
        <f ca="1"/>
        <v>28.88</v>
      </c>
      <c r="H35" s="7" vm="294">
        <f ca="1"/>
        <v>582.91999999999996</v>
      </c>
      <c r="I35" s="7" vm="295">
        <f ca="1"/>
        <v>99.98</v>
      </c>
      <c r="J35" s="7" vm="296">
        <f ca="1"/>
        <v>477.63</v>
      </c>
      <c r="K35" s="18">
        <f t="shared" ca="1" si="3"/>
        <v>-3.3693218341594389E-2</v>
      </c>
      <c r="L35" s="18">
        <f t="shared" ca="1" si="1"/>
        <v>8.6017803086960151E-2</v>
      </c>
      <c r="M35" s="18">
        <f t="shared" ca="1" si="1"/>
        <v>8.3497119673233075E-3</v>
      </c>
      <c r="N35" s="18">
        <f t="shared" ca="1" si="1"/>
        <v>5.0253814524929663E-2</v>
      </c>
      <c r="O35" s="18">
        <f t="shared" ca="1" si="1"/>
        <v>0.10025964672640268</v>
      </c>
      <c r="P35" s="18">
        <f t="shared" ca="1" si="1"/>
        <v>0.12172952472153016</v>
      </c>
      <c r="Q35" s="18">
        <f t="shared" ca="1" si="1"/>
        <v>-1.383374134537927E-2</v>
      </c>
      <c r="R35" s="18">
        <f t="shared" ca="1" si="1"/>
        <v>-2.7231359053697352E-2</v>
      </c>
      <c r="S35" s="18">
        <f t="shared" ref="S35:S62" ca="1" si="4">LN(J35/J34)</f>
        <v>4.1050579709802706E-2</v>
      </c>
    </row>
    <row r="36" spans="1:19" ht="23.25" customHeight="1" x14ac:dyDescent="0.25">
      <c r="A36" s="24">
        <f t="shared" ca="1" si="2"/>
        <v>45292</v>
      </c>
      <c r="B36" s="7" vm="297">
        <f ca="1"/>
        <v>93.03</v>
      </c>
      <c r="C36" s="7" vm="298">
        <f ca="1"/>
        <v>174.36</v>
      </c>
      <c r="D36" s="7" vm="299">
        <f ca="1"/>
        <v>59.49</v>
      </c>
      <c r="E36" s="7" vm="300">
        <f ca="1"/>
        <v>119.49</v>
      </c>
      <c r="F36" s="7" vm="301">
        <f ca="1"/>
        <v>352.96</v>
      </c>
      <c r="G36" s="7" vm="302">
        <f ca="1"/>
        <v>29.89</v>
      </c>
      <c r="H36" s="7" vm="303">
        <f ca="1"/>
        <v>645.61</v>
      </c>
      <c r="I36" s="7" vm="304">
        <f ca="1"/>
        <v>102.81</v>
      </c>
      <c r="J36" s="7" vm="305">
        <f ca="1"/>
        <v>485.2</v>
      </c>
      <c r="K36" s="18">
        <f t="shared" ca="1" si="3"/>
        <v>-3.1530330929065174E-2</v>
      </c>
      <c r="L36" s="18">
        <f t="shared" ca="1" si="3"/>
        <v>2.4735627968375778E-2</v>
      </c>
      <c r="M36" s="18">
        <f t="shared" ca="1" si="3"/>
        <v>9.4579323499923516E-3</v>
      </c>
      <c r="N36" s="18">
        <f t="shared" ca="1" si="3"/>
        <v>-7.300745408147756E-2</v>
      </c>
      <c r="O36" s="18">
        <f t="shared" ca="1" si="3"/>
        <v>1.8327627701143948E-2</v>
      </c>
      <c r="P36" s="18">
        <f t="shared" ca="1" si="3"/>
        <v>3.4374662271221088E-2</v>
      </c>
      <c r="Q36" s="18">
        <f t="shared" ca="1" si="3"/>
        <v>0.10214565063744499</v>
      </c>
      <c r="R36" s="18">
        <f t="shared" ca="1" si="3"/>
        <v>2.7912458569202735E-2</v>
      </c>
      <c r="S36" s="18">
        <f t="shared" ca="1" si="4"/>
        <v>1.5724802893872111E-2</v>
      </c>
    </row>
    <row r="37" spans="1:19" ht="23.25" customHeight="1" x14ac:dyDescent="0.25">
      <c r="A37" s="24">
        <f t="shared" ca="1" si="2"/>
        <v>45323</v>
      </c>
      <c r="B37" s="7" vm="306">
        <f ca="1"/>
        <v>94.9</v>
      </c>
      <c r="C37" s="7" vm="307">
        <f ca="1"/>
        <v>186.06</v>
      </c>
      <c r="D37" s="7" vm="308">
        <f ca="1"/>
        <v>60.02</v>
      </c>
      <c r="E37" s="7" vm="309">
        <f ca="1"/>
        <v>137.35</v>
      </c>
      <c r="F37" s="7" vm="310">
        <f ca="1"/>
        <v>380.61</v>
      </c>
      <c r="G37" s="7" vm="311">
        <f ca="1"/>
        <v>34.270000000000003</v>
      </c>
      <c r="H37" s="7" vm="312">
        <f ca="1"/>
        <v>753.68</v>
      </c>
      <c r="I37" s="7" vm="313">
        <f ca="1"/>
        <v>104.52</v>
      </c>
      <c r="J37" s="7" vm="314">
        <f ca="1"/>
        <v>510.45</v>
      </c>
      <c r="K37" s="18">
        <f t="shared" ca="1" si="3"/>
        <v>1.9901683835414963E-2</v>
      </c>
      <c r="L37" s="18">
        <f t="shared" ca="1" si="3"/>
        <v>6.4947074970220633E-2</v>
      </c>
      <c r="M37" s="18">
        <f t="shared" ca="1" si="3"/>
        <v>8.8696088124067679E-3</v>
      </c>
      <c r="N37" s="18">
        <f t="shared" ca="1" si="3"/>
        <v>0.13929972667962037</v>
      </c>
      <c r="O37" s="18">
        <f t="shared" ca="1" si="3"/>
        <v>7.5420492755479046E-2</v>
      </c>
      <c r="P37" s="18">
        <f t="shared" ca="1" si="3"/>
        <v>0.13674635959067111</v>
      </c>
      <c r="Q37" s="18">
        <f t="shared" ca="1" si="3"/>
        <v>0.15477226843747136</v>
      </c>
      <c r="R37" s="18">
        <f t="shared" ca="1" si="3"/>
        <v>1.6495816097784593E-2</v>
      </c>
      <c r="S37" s="18">
        <f t="shared" ca="1" si="4"/>
        <v>5.0731512545129288E-2</v>
      </c>
    </row>
    <row r="38" spans="1:19" ht="23.25" customHeight="1" x14ac:dyDescent="0.25">
      <c r="A38" s="24">
        <f t="shared" ca="1" si="2"/>
        <v>45352</v>
      </c>
      <c r="B38" s="7" vm="315">
        <f ca="1"/>
        <v>91.39</v>
      </c>
      <c r="C38" s="7" vm="316">
        <f ca="1"/>
        <v>200.3</v>
      </c>
      <c r="D38" s="7" vm="317">
        <f ca="1"/>
        <v>61.18</v>
      </c>
      <c r="E38" s="7" vm="318">
        <f ca="1"/>
        <v>148.87</v>
      </c>
      <c r="F38" s="7" vm="319">
        <f ca="1"/>
        <v>383.6</v>
      </c>
      <c r="G38" s="7" vm="320">
        <f ca="1"/>
        <v>29.19</v>
      </c>
      <c r="H38" s="7" vm="321">
        <f ca="1"/>
        <v>777.96</v>
      </c>
      <c r="I38" s="7" vm="322">
        <f ca="1"/>
        <v>116.24</v>
      </c>
      <c r="J38" s="7" vm="323">
        <f ca="1"/>
        <v>525.73</v>
      </c>
      <c r="K38" s="18">
        <f t="shared" ca="1" si="3"/>
        <v>-3.7687642331771923E-2</v>
      </c>
      <c r="L38" s="18">
        <f t="shared" ca="1" si="3"/>
        <v>7.3747040331360078E-2</v>
      </c>
      <c r="M38" s="18">
        <f t="shared" ca="1" si="3"/>
        <v>1.9142498710536242E-2</v>
      </c>
      <c r="N38" s="18">
        <f t="shared" ca="1" si="3"/>
        <v>8.0541029347682994E-2</v>
      </c>
      <c r="O38" s="18">
        <f t="shared" ca="1" si="3"/>
        <v>7.8251141886665175E-3</v>
      </c>
      <c r="P38" s="18">
        <f t="shared" ca="1" si="3"/>
        <v>-0.1604441510204942</v>
      </c>
      <c r="Q38" s="18">
        <f t="shared" ca="1" si="3"/>
        <v>3.1707234234492322E-2</v>
      </c>
      <c r="R38" s="18">
        <f t="shared" ca="1" si="3"/>
        <v>0.1062785786096158</v>
      </c>
      <c r="S38" s="18">
        <f t="shared" ca="1" si="4"/>
        <v>2.949508335025066E-2</v>
      </c>
    </row>
    <row r="39" spans="1:19" ht="23.25" customHeight="1" x14ac:dyDescent="0.25">
      <c r="A39" s="24">
        <f t="shared" ca="1" si="2"/>
        <v>45383</v>
      </c>
      <c r="B39" s="7" vm="148">
        <f ca="1"/>
        <v>88.49</v>
      </c>
      <c r="C39" s="7" vm="324">
        <f ca="1"/>
        <v>191.74</v>
      </c>
      <c r="D39" s="7" vm="325">
        <f ca="1"/>
        <v>61.77</v>
      </c>
      <c r="E39" s="7" vm="326">
        <f ca="1"/>
        <v>144.47</v>
      </c>
      <c r="F39" s="7" vm="327">
        <f ca="1"/>
        <v>334.22</v>
      </c>
      <c r="G39" s="7" vm="328">
        <f ca="1"/>
        <v>25.94</v>
      </c>
      <c r="H39" s="7" vm="329">
        <f ca="1"/>
        <v>781.1</v>
      </c>
      <c r="I39" s="7" vm="330">
        <f ca="1"/>
        <v>118.27</v>
      </c>
      <c r="J39" s="7" vm="331">
        <f ca="1"/>
        <v>504.44</v>
      </c>
      <c r="K39" s="18">
        <f t="shared" ca="1" si="3"/>
        <v>-3.2246512004851548E-2</v>
      </c>
      <c r="L39" s="18">
        <f t="shared" ca="1" si="3"/>
        <v>-4.3675955022922035E-2</v>
      </c>
      <c r="M39" s="18">
        <f t="shared" ca="1" si="3"/>
        <v>9.5974709850504304E-3</v>
      </c>
      <c r="N39" s="18">
        <f t="shared" ca="1" si="3"/>
        <v>-3.0001568347675936E-2</v>
      </c>
      <c r="O39" s="18">
        <f t="shared" ca="1" si="3"/>
        <v>-0.13780088423404657</v>
      </c>
      <c r="P39" s="18">
        <f t="shared" ca="1" si="3"/>
        <v>-0.1180400059777256</v>
      </c>
      <c r="Q39" s="18">
        <f t="shared" ca="1" si="3"/>
        <v>4.0280736413470753E-3</v>
      </c>
      <c r="R39" s="18">
        <f t="shared" ca="1" si="3"/>
        <v>1.7313127000998078E-2</v>
      </c>
      <c r="S39" s="18">
        <f t="shared" ca="1" si="4"/>
        <v>-4.1338869877601256E-2</v>
      </c>
    </row>
    <row r="40" spans="1:19" ht="23.25" customHeight="1" x14ac:dyDescent="0.25">
      <c r="A40" s="24">
        <f t="shared" ca="1" si="2"/>
        <v>45413</v>
      </c>
      <c r="B40" s="7" vm="332">
        <f ca="1"/>
        <v>80.22</v>
      </c>
      <c r="C40" s="7" vm="333">
        <f ca="1"/>
        <v>202.63</v>
      </c>
      <c r="D40" s="7" vm="334">
        <f ca="1"/>
        <v>62.93</v>
      </c>
      <c r="E40" s="7" vm="335">
        <f ca="1"/>
        <v>163.85</v>
      </c>
      <c r="F40" s="7" vm="336">
        <f ca="1"/>
        <v>334.87</v>
      </c>
      <c r="G40" s="7" vm="337">
        <f ca="1"/>
        <v>26.84</v>
      </c>
      <c r="H40" s="7" vm="338">
        <f ca="1"/>
        <v>820.34</v>
      </c>
      <c r="I40" s="7" vm="339">
        <f ca="1"/>
        <v>117.26</v>
      </c>
      <c r="J40" s="7" vm="340">
        <f ca="1"/>
        <v>529.96</v>
      </c>
      <c r="K40" s="18">
        <f t="shared" ca="1" si="3"/>
        <v>-9.8116690937351966E-2</v>
      </c>
      <c r="L40" s="18">
        <f t="shared" ca="1" si="3"/>
        <v>5.5241368228387204E-2</v>
      </c>
      <c r="M40" s="18">
        <f t="shared" ca="1" si="3"/>
        <v>1.8605187831034486E-2</v>
      </c>
      <c r="N40" s="18">
        <f t="shared" ca="1" si="3"/>
        <v>0.12587950160353362</v>
      </c>
      <c r="O40" s="18">
        <f t="shared" ca="1" si="3"/>
        <v>1.9429380336863141E-3</v>
      </c>
      <c r="P40" s="18">
        <f t="shared" ca="1" si="3"/>
        <v>3.4107133215183161E-2</v>
      </c>
      <c r="Q40" s="18">
        <f t="shared" ca="1" si="3"/>
        <v>4.9015705851405189E-2</v>
      </c>
      <c r="R40" s="18">
        <f t="shared" ca="1" si="3"/>
        <v>-8.5764547269564298E-3</v>
      </c>
      <c r="S40" s="18">
        <f t="shared" ca="1" si="4"/>
        <v>4.9352628912248675E-2</v>
      </c>
    </row>
    <row r="41" spans="1:19" ht="23.25" customHeight="1" x14ac:dyDescent="0.25">
      <c r="A41" s="24">
        <f t="shared" ca="1" si="2"/>
        <v>45444</v>
      </c>
      <c r="B41" s="7" vm="341">
        <f ca="1"/>
        <v>77.849999999999994</v>
      </c>
      <c r="C41" s="7" vm="342">
        <f ca="1"/>
        <v>202.26</v>
      </c>
      <c r="D41" s="7" vm="343">
        <f ca="1"/>
        <v>63.65</v>
      </c>
      <c r="E41" s="7" vm="344">
        <f ca="1"/>
        <v>162.91999999999999</v>
      </c>
      <c r="F41" s="7" vm="345">
        <f ca="1"/>
        <v>344.24</v>
      </c>
      <c r="G41" s="7" vm="346">
        <f ca="1"/>
        <v>28.61</v>
      </c>
      <c r="H41" s="7" vm="347">
        <f ca="1"/>
        <v>905.38</v>
      </c>
      <c r="I41" s="7" vm="348">
        <f ca="1"/>
        <v>115.12</v>
      </c>
      <c r="J41" s="7" vm="349">
        <f ca="1"/>
        <v>547.23</v>
      </c>
      <c r="K41" s="18">
        <f t="shared" ca="1" si="3"/>
        <v>-2.9988962061899511E-2</v>
      </c>
      <c r="L41" s="18">
        <f t="shared" ca="1" si="3"/>
        <v>-1.8276574032134445E-3</v>
      </c>
      <c r="M41" s="18">
        <f t="shared" ca="1" si="3"/>
        <v>1.1376327464573373E-2</v>
      </c>
      <c r="N41" s="18">
        <f t="shared" ca="1" si="3"/>
        <v>-5.6920923646118417E-3</v>
      </c>
      <c r="O41" s="18">
        <f t="shared" ca="1" si="3"/>
        <v>2.759669172142136E-2</v>
      </c>
      <c r="P41" s="18">
        <f t="shared" ca="1" si="3"/>
        <v>6.3862994958537783E-2</v>
      </c>
      <c r="Q41" s="18">
        <f t="shared" ca="1" si="3"/>
        <v>9.8635856606103287E-2</v>
      </c>
      <c r="R41" s="18">
        <f t="shared" ca="1" si="3"/>
        <v>-1.8418628956956618E-2</v>
      </c>
      <c r="S41" s="18">
        <f t="shared" ca="1" si="4"/>
        <v>3.2067657367010456E-2</v>
      </c>
    </row>
    <row r="42" spans="1:19" ht="23.25" customHeight="1" x14ac:dyDescent="0.25">
      <c r="A42" s="24">
        <f t="shared" ca="1" si="2"/>
        <v>45474</v>
      </c>
      <c r="B42" s="7" vm="350">
        <f ca="1"/>
        <v>77.95</v>
      </c>
      <c r="C42" s="7" vm="351">
        <f ca="1"/>
        <v>212.8</v>
      </c>
      <c r="D42" s="7" vm="352">
        <f ca="1"/>
        <v>66.739999999999995</v>
      </c>
      <c r="E42" s="7" vm="353">
        <f ca="1"/>
        <v>171.25</v>
      </c>
      <c r="F42" s="7" vm="354">
        <f ca="1"/>
        <v>368.16</v>
      </c>
      <c r="G42" s="7" vm="355">
        <f ca="1"/>
        <v>26.94</v>
      </c>
      <c r="H42" s="7" vm="356">
        <f ca="1"/>
        <v>804.27</v>
      </c>
      <c r="I42" s="7" vm="357">
        <f ca="1"/>
        <v>118.59</v>
      </c>
      <c r="J42" s="7" vm="358">
        <f ca="1"/>
        <v>553.32000000000005</v>
      </c>
      <c r="K42" s="18">
        <f t="shared" ca="1" si="3"/>
        <v>1.2836972237783492E-3</v>
      </c>
      <c r="L42" s="18">
        <f t="shared" ca="1" si="3"/>
        <v>5.079875899346499E-2</v>
      </c>
      <c r="M42" s="18">
        <f t="shared" ca="1" si="3"/>
        <v>4.7405148319812282E-2</v>
      </c>
      <c r="N42" s="18">
        <f t="shared" ca="1" si="3"/>
        <v>4.986519436212293E-2</v>
      </c>
      <c r="O42" s="18">
        <f t="shared" ca="1" si="3"/>
        <v>6.7178537756711523E-2</v>
      </c>
      <c r="P42" s="18">
        <f t="shared" ca="1" si="3"/>
        <v>-6.0144136079800875E-2</v>
      </c>
      <c r="Q42" s="18">
        <f t="shared" ca="1" si="3"/>
        <v>-0.11841971137448726</v>
      </c>
      <c r="R42" s="18">
        <f t="shared" ca="1" si="3"/>
        <v>2.9697103397591355E-2</v>
      </c>
      <c r="S42" s="18">
        <f t="shared" ca="1" si="4"/>
        <v>1.1067306639681753E-2</v>
      </c>
    </row>
    <row r="43" spans="1:19" ht="23.25" customHeight="1" x14ac:dyDescent="0.25">
      <c r="A43" s="24">
        <f t="shared" ca="1" si="2"/>
        <v>45505</v>
      </c>
      <c r="B43" s="7" vm="359">
        <f ca="1"/>
        <v>94.57</v>
      </c>
      <c r="C43" s="7" vm="360">
        <f ca="1"/>
        <v>224.8</v>
      </c>
      <c r="D43" s="7" vm="361">
        <f ca="1"/>
        <v>72.47</v>
      </c>
      <c r="E43" s="7" vm="362">
        <f ca="1"/>
        <v>183.29</v>
      </c>
      <c r="F43" s="7" vm="363">
        <f ca="1"/>
        <v>368.5</v>
      </c>
      <c r="G43" s="7" vm="364">
        <f ca="1"/>
        <v>28.92</v>
      </c>
      <c r="H43" s="7" vm="365">
        <f ca="1"/>
        <v>960.02</v>
      </c>
      <c r="I43" s="7" vm="366">
        <f ca="1"/>
        <v>117.94</v>
      </c>
      <c r="J43" s="7" vm="367">
        <f ca="1"/>
        <v>566.75</v>
      </c>
      <c r="K43" s="18">
        <f t="shared" ca="1" si="3"/>
        <v>0.1932727055236351</v>
      </c>
      <c r="L43" s="18">
        <f t="shared" ca="1" si="3"/>
        <v>5.4858360552046764E-2</v>
      </c>
      <c r="M43" s="18">
        <f t="shared" ca="1" si="3"/>
        <v>8.236820979796218E-2</v>
      </c>
      <c r="N43" s="18">
        <f t="shared" ca="1" si="3"/>
        <v>6.7945120841421694E-2</v>
      </c>
      <c r="O43" s="18">
        <f t="shared" ca="1" si="3"/>
        <v>9.2308534233555837E-4</v>
      </c>
      <c r="P43" s="18">
        <f t="shared" ca="1" si="3"/>
        <v>7.0921226308346033E-2</v>
      </c>
      <c r="Q43" s="18">
        <f t="shared" ca="1" si="3"/>
        <v>0.17701908387893153</v>
      </c>
      <c r="R43" s="18">
        <f t="shared" ca="1" si="3"/>
        <v>-5.4961454043457696E-3</v>
      </c>
      <c r="S43" s="18">
        <f t="shared" ca="1" si="4"/>
        <v>2.3981793381023853E-2</v>
      </c>
    </row>
    <row r="44" spans="1:19" ht="23.25" customHeight="1" x14ac:dyDescent="0.25">
      <c r="A44" s="24">
        <f t="shared" ca="1" si="2"/>
        <v>45536</v>
      </c>
      <c r="B44" s="7" vm="368">
        <f ca="1"/>
        <v>97.49</v>
      </c>
      <c r="C44" s="7" vm="369">
        <f ca="1"/>
        <v>210.86</v>
      </c>
      <c r="D44" s="7" vm="370">
        <f ca="1"/>
        <v>71.86</v>
      </c>
      <c r="E44" s="7" vm="371">
        <f ca="1"/>
        <v>176.03</v>
      </c>
      <c r="F44" s="7" vm="372">
        <f ca="1"/>
        <v>405.2</v>
      </c>
      <c r="G44" s="7" vm="373">
        <f ca="1"/>
        <v>29.63</v>
      </c>
      <c r="H44" s="7" vm="374">
        <f ca="1"/>
        <v>885.94</v>
      </c>
      <c r="I44" s="7" vm="375">
        <f ca="1"/>
        <v>117.22</v>
      </c>
      <c r="J44" s="7" vm="376">
        <f ca="1"/>
        <v>576.82000000000005</v>
      </c>
      <c r="K44" s="18">
        <f t="shared" ca="1" si="3"/>
        <v>3.0409507613759296E-2</v>
      </c>
      <c r="L44" s="18">
        <f t="shared" ca="1" si="3"/>
        <v>-6.4016711870732407E-2</v>
      </c>
      <c r="M44" s="18">
        <f t="shared" ca="1" si="3"/>
        <v>-8.4529014358173393E-3</v>
      </c>
      <c r="N44" s="18">
        <f t="shared" ca="1" si="3"/>
        <v>-4.0415162925875582E-2</v>
      </c>
      <c r="O44" s="18">
        <f t="shared" ca="1" si="3"/>
        <v>9.4940060745136987E-2</v>
      </c>
      <c r="P44" s="18">
        <f t="shared" ca="1" si="3"/>
        <v>2.4253964294909849E-2</v>
      </c>
      <c r="Q44" s="18">
        <f t="shared" ca="1" si="3"/>
        <v>-8.0304889356525633E-2</v>
      </c>
      <c r="R44" s="18">
        <f t="shared" ca="1" si="3"/>
        <v>-6.123509524074853E-3</v>
      </c>
      <c r="S44" s="18">
        <f t="shared" ca="1" si="4"/>
        <v>1.7611970045769861E-2</v>
      </c>
    </row>
    <row r="45" spans="1:19" ht="23.25" customHeight="1" x14ac:dyDescent="0.25">
      <c r="A45" s="24">
        <f t="shared" ca="1" si="2"/>
        <v>45566</v>
      </c>
      <c r="B45" s="7" vm="377">
        <f ca="1"/>
        <v>97.7</v>
      </c>
      <c r="C45" s="7" vm="378">
        <f ca="1"/>
        <v>221.92</v>
      </c>
      <c r="D45" s="7" vm="379">
        <f ca="1"/>
        <v>65.31</v>
      </c>
      <c r="E45" s="7" vm="380">
        <f ca="1"/>
        <v>198.35</v>
      </c>
      <c r="F45" s="7" vm="381">
        <f ca="1"/>
        <v>393.75</v>
      </c>
      <c r="G45" s="7" vm="382">
        <f ca="1"/>
        <v>30.58</v>
      </c>
      <c r="H45" s="7" vm="383">
        <f ca="1"/>
        <v>829.74</v>
      </c>
      <c r="I45" s="7" vm="384">
        <f ca="1"/>
        <v>116.78</v>
      </c>
      <c r="J45" s="7" vm="385">
        <f ca="1"/>
        <v>571.24</v>
      </c>
      <c r="K45" s="18">
        <f t="shared" ca="1" si="3"/>
        <v>2.1517504075570437E-3</v>
      </c>
      <c r="L45" s="18">
        <f t="shared" ca="1" si="3"/>
        <v>5.1122550417717641E-2</v>
      </c>
      <c r="M45" s="18">
        <f t="shared" ca="1" si="3"/>
        <v>-9.557461777080685E-2</v>
      </c>
      <c r="N45" s="18">
        <f t="shared" ca="1" si="3"/>
        <v>0.11937871190245816</v>
      </c>
      <c r="O45" s="18">
        <f t="shared" ca="1" si="3"/>
        <v>-2.8664582234685453E-2</v>
      </c>
      <c r="P45" s="18">
        <f t="shared" ca="1" si="3"/>
        <v>3.1558838915442353E-2</v>
      </c>
      <c r="Q45" s="18">
        <f t="shared" ca="1" si="3"/>
        <v>-6.5536829517056666E-2</v>
      </c>
      <c r="R45" s="18">
        <f t="shared" ca="1" si="3"/>
        <v>-3.7606881928916517E-3</v>
      </c>
      <c r="S45" s="18">
        <f t="shared" ca="1" si="4"/>
        <v>-9.7208228486758055E-3</v>
      </c>
    </row>
    <row r="46" spans="1:19" ht="23.25" customHeight="1" x14ac:dyDescent="0.25">
      <c r="A46" s="24">
        <f t="shared" ca="1" si="2"/>
        <v>45597</v>
      </c>
      <c r="B46" s="7" vm="386">
        <f ca="1"/>
        <v>102.46</v>
      </c>
      <c r="C46" s="7" vm="387">
        <f ca="1"/>
        <v>249.72</v>
      </c>
      <c r="D46" s="7" vm="388">
        <f ca="1"/>
        <v>64.08</v>
      </c>
      <c r="E46" s="7" vm="389">
        <f ca="1"/>
        <v>212.6</v>
      </c>
      <c r="F46" s="7" vm="390">
        <f ca="1"/>
        <v>429.13</v>
      </c>
      <c r="G46" s="7" vm="391">
        <f ca="1"/>
        <v>32.36</v>
      </c>
      <c r="H46" s="7" vm="392">
        <f ca="1"/>
        <v>795.35</v>
      </c>
      <c r="I46" s="7" vm="393">
        <f ca="1"/>
        <v>117.96</v>
      </c>
      <c r="J46" s="7" vm="394">
        <f ca="1"/>
        <v>605.07000000000005</v>
      </c>
      <c r="K46" s="18">
        <f t="shared" ca="1" si="3"/>
        <v>4.7570919462319131E-2</v>
      </c>
      <c r="L46" s="18">
        <f t="shared" ca="1" si="3"/>
        <v>0.11802333362702197</v>
      </c>
      <c r="M46" s="18">
        <f t="shared" ca="1" si="3"/>
        <v>-1.9012861154462081E-2</v>
      </c>
      <c r="N46" s="18">
        <f t="shared" ca="1" si="3"/>
        <v>6.9379318947508498E-2</v>
      </c>
      <c r="O46" s="18">
        <f t="shared" ca="1" si="3"/>
        <v>8.6043713186795601E-2</v>
      </c>
      <c r="P46" s="18">
        <f t="shared" ca="1" si="3"/>
        <v>5.6576891689374659E-2</v>
      </c>
      <c r="Q46" s="18">
        <f t="shared" ca="1" si="3"/>
        <v>-4.2330129360252503E-2</v>
      </c>
      <c r="R46" s="18">
        <f t="shared" ca="1" si="3"/>
        <v>1.0053761091683825E-2</v>
      </c>
      <c r="S46" s="18">
        <f t="shared" ca="1" si="4"/>
        <v>5.7534717232432281E-2</v>
      </c>
    </row>
    <row r="47" spans="1:19" ht="23.25" customHeight="1" x14ac:dyDescent="0.25">
      <c r="A47" s="24">
        <f t="shared" ca="1" si="2"/>
        <v>45627</v>
      </c>
      <c r="B47" s="7" vm="395">
        <f ca="1"/>
        <v>91.25</v>
      </c>
      <c r="C47" s="7" vm="396">
        <f ca="1"/>
        <v>239.71</v>
      </c>
      <c r="D47" s="7" vm="397">
        <f ca="1"/>
        <v>62.26</v>
      </c>
      <c r="E47" s="7" vm="398">
        <f ca="1"/>
        <v>206.26</v>
      </c>
      <c r="F47" s="7" vm="399">
        <f ca="1"/>
        <v>388.99</v>
      </c>
      <c r="G47" s="7" vm="400">
        <f ca="1"/>
        <v>33.619999999999997</v>
      </c>
      <c r="H47" s="7" vm="401">
        <f ca="1"/>
        <v>772</v>
      </c>
      <c r="I47" s="7" vm="402">
        <f ca="1"/>
        <v>107.57</v>
      </c>
      <c r="J47" s="7" vm="403">
        <f ca="1"/>
        <v>588.67999999999995</v>
      </c>
      <c r="K47" s="18">
        <f t="shared" ca="1" si="3"/>
        <v>-0.11586948604845526</v>
      </c>
      <c r="L47" s="18">
        <f t="shared" ca="1" si="3"/>
        <v>-4.0910430808224575E-2</v>
      </c>
      <c r="M47" s="18">
        <f t="shared" ca="1" si="3"/>
        <v>-2.8813137746641685E-2</v>
      </c>
      <c r="N47" s="18">
        <f t="shared" ca="1" si="3"/>
        <v>-3.0274957019924637E-2</v>
      </c>
      <c r="O47" s="18">
        <f t="shared" ca="1" si="3"/>
        <v>-9.8206266979495166E-2</v>
      </c>
      <c r="P47" s="18">
        <f t="shared" ca="1" si="3"/>
        <v>3.8198035790178463E-2</v>
      </c>
      <c r="Q47" s="18">
        <f t="shared" ca="1" si="3"/>
        <v>-2.9797719319593317E-2</v>
      </c>
      <c r="R47" s="18">
        <f t="shared" ca="1" si="3"/>
        <v>-9.220378550316144E-2</v>
      </c>
      <c r="S47" s="18">
        <f t="shared" ca="1" si="4"/>
        <v>-2.7461411521252803E-2</v>
      </c>
    </row>
    <row r="48" spans="1:19" ht="23.25" customHeight="1" x14ac:dyDescent="0.25">
      <c r="A48" s="24">
        <f t="shared" ca="1" si="2"/>
        <v>45658</v>
      </c>
      <c r="B48" s="7" vm="404">
        <f ca="1"/>
        <v>107.68</v>
      </c>
      <c r="C48" s="7" vm="405">
        <f ca="1"/>
        <v>267.3</v>
      </c>
      <c r="D48" s="7" vm="406">
        <f ca="1"/>
        <v>63.48</v>
      </c>
      <c r="E48" s="7" vm="407">
        <f ca="1"/>
        <v>215.85</v>
      </c>
      <c r="F48" s="7" vm="408">
        <f ca="1"/>
        <v>411.98</v>
      </c>
      <c r="G48" s="7" vm="409">
        <f ca="1"/>
        <v>30.71</v>
      </c>
      <c r="H48" s="7" vm="410">
        <f ca="1"/>
        <v>811.08</v>
      </c>
      <c r="I48" s="7" vm="411">
        <f ca="1"/>
        <v>106.83</v>
      </c>
      <c r="J48" s="7" vm="412">
        <f ca="1"/>
        <v>604.66</v>
      </c>
      <c r="K48" s="18">
        <f t="shared" ca="1" si="3"/>
        <v>0.16556087343381679</v>
      </c>
      <c r="L48" s="18">
        <f t="shared" ca="1" si="3"/>
        <v>0.10894176375955462</v>
      </c>
      <c r="M48" s="18">
        <f t="shared" ca="1" si="3"/>
        <v>1.9405730644746252E-2</v>
      </c>
      <c r="N48" s="18">
        <f t="shared" ca="1" si="3"/>
        <v>4.5446213113563526E-2</v>
      </c>
      <c r="O48" s="18">
        <f t="shared" ca="1" si="3"/>
        <v>5.7421168134779842E-2</v>
      </c>
      <c r="P48" s="18">
        <f t="shared" ca="1" si="3"/>
        <v>-9.0532793527738423E-2</v>
      </c>
      <c r="Q48" s="18">
        <f t="shared" ca="1" si="3"/>
        <v>4.9382142875486923E-2</v>
      </c>
      <c r="R48" s="18">
        <f t="shared" ca="1" si="3"/>
        <v>-6.9030124861179489E-3</v>
      </c>
      <c r="S48" s="18">
        <f t="shared" ca="1" si="4"/>
        <v>2.6783574291956321E-2</v>
      </c>
    </row>
    <row r="49" spans="1:19" ht="23.25" customHeight="1" x14ac:dyDescent="0.25">
      <c r="A49" s="24">
        <f t="shared" ca="1" si="2"/>
        <v>45689</v>
      </c>
      <c r="B49" s="7" vm="413">
        <f ca="1"/>
        <v>115.81</v>
      </c>
      <c r="C49" s="7" vm="414">
        <f ca="1"/>
        <v>264.64999999999998</v>
      </c>
      <c r="D49" s="7" vm="415">
        <f ca="1"/>
        <v>71.209999999999994</v>
      </c>
      <c r="E49" s="7" vm="416">
        <f ca="1"/>
        <v>228.93</v>
      </c>
      <c r="F49" s="7" vm="417">
        <f ca="1"/>
        <v>396.6</v>
      </c>
      <c r="G49" s="7" vm="418">
        <f ca="1"/>
        <v>31.06</v>
      </c>
      <c r="H49" s="7" vm="419">
        <f ca="1"/>
        <v>920.63</v>
      </c>
      <c r="I49" s="7" vm="420">
        <f ca="1"/>
        <v>111.33</v>
      </c>
      <c r="J49" s="7" vm="421">
        <f ca="1"/>
        <v>597.04</v>
      </c>
      <c r="K49" s="18">
        <f t="shared" ca="1" si="3"/>
        <v>7.278705129986858E-2</v>
      </c>
      <c r="L49" s="18">
        <f t="shared" ca="1" si="3"/>
        <v>-9.9634248408768788E-3</v>
      </c>
      <c r="M49" s="18">
        <f t="shared" ca="1" si="3"/>
        <v>0.11490836233582499</v>
      </c>
      <c r="N49" s="18">
        <f t="shared" ca="1" si="3"/>
        <v>5.8832557968165014E-2</v>
      </c>
      <c r="O49" s="18">
        <f t="shared" ca="1" si="3"/>
        <v>-3.8046588396227342E-2</v>
      </c>
      <c r="P49" s="18">
        <f t="shared" ca="1" si="3"/>
        <v>1.1332483267809919E-2</v>
      </c>
      <c r="Q49" s="18">
        <f t="shared" ca="1" si="3"/>
        <v>0.12669152539489079</v>
      </c>
      <c r="R49" s="18">
        <f t="shared" ca="1" si="3"/>
        <v>4.1259977782819875E-2</v>
      </c>
      <c r="S49" s="18">
        <f t="shared" ca="1" si="4"/>
        <v>-1.2682203764736336E-2</v>
      </c>
    </row>
    <row r="50" spans="1:19" ht="23.25" customHeight="1" x14ac:dyDescent="0.25">
      <c r="A50" s="24">
        <f t="shared" ca="1" si="2"/>
        <v>45717</v>
      </c>
      <c r="B50" s="7" vm="422">
        <f ca="1"/>
        <v>98.09</v>
      </c>
      <c r="C50" s="7" vm="423">
        <f ca="1"/>
        <v>245.3</v>
      </c>
      <c r="D50" s="7" vm="424">
        <f ca="1"/>
        <v>71.62</v>
      </c>
      <c r="E50" s="7" vm="425">
        <f ca="1"/>
        <v>217.13</v>
      </c>
      <c r="F50" s="7" vm="426">
        <f ca="1"/>
        <v>366.49</v>
      </c>
      <c r="G50" s="7" vm="203">
        <f ca="1"/>
        <v>33.58</v>
      </c>
      <c r="H50" s="7" vm="427">
        <f ca="1"/>
        <v>825.91</v>
      </c>
      <c r="I50" s="7" vm="428">
        <f ca="1"/>
        <v>118.93</v>
      </c>
      <c r="J50" s="7" vm="429">
        <f ca="1"/>
        <v>561.9</v>
      </c>
      <c r="K50" s="18">
        <f t="shared" ca="1" si="3"/>
        <v>-0.16606549262006204</v>
      </c>
      <c r="L50" s="18">
        <f t="shared" ca="1" si="3"/>
        <v>-7.5926247039552752E-2</v>
      </c>
      <c r="M50" s="18">
        <f t="shared" ca="1" si="3"/>
        <v>5.7411065762533421E-3</v>
      </c>
      <c r="N50" s="18">
        <f t="shared" ca="1" si="3"/>
        <v>-5.2920027463970981E-2</v>
      </c>
      <c r="O50" s="18">
        <f t="shared" ca="1" si="3"/>
        <v>-7.895698026083979E-2</v>
      </c>
      <c r="P50" s="18">
        <f t="shared" ca="1" si="3"/>
        <v>7.8009833928853814E-2</v>
      </c>
      <c r="Q50" s="18">
        <f t="shared" ca="1" si="3"/>
        <v>-0.10857240954839363</v>
      </c>
      <c r="R50" s="18">
        <f t="shared" ca="1" si="3"/>
        <v>6.603632099853822E-2</v>
      </c>
      <c r="S50" s="18">
        <f t="shared" ca="1" si="4"/>
        <v>-6.0660214704979398E-2</v>
      </c>
    </row>
    <row r="51" spans="1:19" ht="23.25" customHeight="1" x14ac:dyDescent="0.25">
      <c r="A51" s="24">
        <f t="shared" ca="1" si="2"/>
        <v>45748</v>
      </c>
      <c r="B51" s="7" vm="430">
        <f ca="1"/>
        <v>80.05</v>
      </c>
      <c r="C51" s="7" vm="431">
        <f ca="1"/>
        <v>244.62</v>
      </c>
      <c r="D51" s="7" vm="432">
        <f ca="1"/>
        <v>72.55</v>
      </c>
      <c r="E51" s="7" vm="433">
        <f ca="1"/>
        <v>186.87</v>
      </c>
      <c r="F51" s="7" vm="434">
        <f ca="1"/>
        <v>360.49</v>
      </c>
      <c r="G51" s="7" vm="435">
        <f ca="1"/>
        <v>27.96</v>
      </c>
      <c r="H51" s="7" vm="436">
        <f ca="1"/>
        <v>898.95</v>
      </c>
      <c r="I51" s="7" vm="437">
        <f ca="1"/>
        <v>105.63</v>
      </c>
      <c r="J51" s="7" vm="438">
        <f ca="1"/>
        <v>557.96</v>
      </c>
      <c r="K51" s="18">
        <f t="shared" ca="1" si="3"/>
        <v>-0.20323398513350069</v>
      </c>
      <c r="L51" s="18">
        <f t="shared" ca="1" si="3"/>
        <v>-2.7759652052265827E-3</v>
      </c>
      <c r="M51" s="18">
        <f t="shared" ca="1" si="3"/>
        <v>1.2901614759910111E-2</v>
      </c>
      <c r="N51" s="18">
        <f t="shared" ca="1" si="3"/>
        <v>-0.15008306457151666</v>
      </c>
      <c r="O51" s="18">
        <f t="shared" ca="1" si="3"/>
        <v>-1.6507018735632494E-2</v>
      </c>
      <c r="P51" s="18">
        <f t="shared" ca="1" si="3"/>
        <v>-0.18315573428378515</v>
      </c>
      <c r="Q51" s="18">
        <f t="shared" ca="1" si="3"/>
        <v>8.4741606825543714E-2</v>
      </c>
      <c r="R51" s="18">
        <f t="shared" ca="1" si="3"/>
        <v>-0.11859266290408328</v>
      </c>
      <c r="S51" s="18">
        <f t="shared" ca="1" si="4"/>
        <v>-7.036622894117917E-3</v>
      </c>
    </row>
    <row r="52" spans="1:19" ht="23.25" customHeight="1" x14ac:dyDescent="0.25">
      <c r="A52" s="24">
        <f t="shared" ca="1" si="2"/>
        <v>45778</v>
      </c>
      <c r="B52" s="7" vm="439">
        <f ca="1"/>
        <v>83.95</v>
      </c>
      <c r="C52" s="7" vm="440">
        <f ca="1"/>
        <v>264</v>
      </c>
      <c r="D52" s="7" vm="441">
        <f ca="1"/>
        <v>72.099999999999994</v>
      </c>
      <c r="E52" s="7" vm="442">
        <f ca="1"/>
        <v>202.97</v>
      </c>
      <c r="F52" s="7" vm="443">
        <f ca="1"/>
        <v>368.29</v>
      </c>
      <c r="G52" s="7" vm="444">
        <f ca="1"/>
        <v>33.380000000000003</v>
      </c>
      <c r="H52" s="7" vm="445">
        <f ca="1"/>
        <v>737.67</v>
      </c>
      <c r="I52" s="7" vm="446">
        <f ca="1"/>
        <v>102.3</v>
      </c>
      <c r="J52" s="7" vm="447">
        <f ca="1"/>
        <v>592.15</v>
      </c>
      <c r="K52" s="18">
        <f t="shared" ca="1" si="3"/>
        <v>4.7569944080826244E-2</v>
      </c>
      <c r="L52" s="18">
        <f t="shared" ca="1" si="3"/>
        <v>7.6243117087099188E-2</v>
      </c>
      <c r="M52" s="18">
        <f t="shared" ca="1" si="3"/>
        <v>-6.2219350392935489E-3</v>
      </c>
      <c r="N52" s="18">
        <f t="shared" ca="1" si="3"/>
        <v>8.2644996935371279E-2</v>
      </c>
      <c r="O52" s="18">
        <f t="shared" ca="1" si="3"/>
        <v>2.1406454214738559E-2</v>
      </c>
      <c r="P52" s="18">
        <f t="shared" ca="1" si="3"/>
        <v>0.17718200086807959</v>
      </c>
      <c r="Q52" s="18">
        <f t="shared" ca="1" si="3"/>
        <v>-0.1977308454467494</v>
      </c>
      <c r="R52" s="18">
        <f t="shared" ca="1" si="3"/>
        <v>-3.2032748877489997E-2</v>
      </c>
      <c r="S52" s="18">
        <f t="shared" ca="1" si="4"/>
        <v>5.9472705943469525E-2</v>
      </c>
    </row>
    <row r="53" spans="1:19" ht="23.25" customHeight="1" x14ac:dyDescent="0.25">
      <c r="A53" s="24">
        <f t="shared" ca="1" si="2"/>
        <v>45809</v>
      </c>
      <c r="B53" s="7" vm="448">
        <f ca="1"/>
        <v>91.63</v>
      </c>
      <c r="C53" s="7" vm="449">
        <f ca="1"/>
        <v>289.91000000000003</v>
      </c>
      <c r="D53" s="7" vm="450">
        <f ca="1"/>
        <v>70.75</v>
      </c>
      <c r="E53" s="7" vm="451">
        <f ca="1"/>
        <v>208.72</v>
      </c>
      <c r="F53" s="7" vm="452">
        <f ca="1"/>
        <v>366.64</v>
      </c>
      <c r="G53" s="7" vm="453">
        <f ca="1"/>
        <v>32.44</v>
      </c>
      <c r="H53" s="7" vm="454">
        <f ca="1"/>
        <v>779.53</v>
      </c>
      <c r="I53" s="7" vm="455">
        <f ca="1"/>
        <v>107.8</v>
      </c>
      <c r="J53" s="7" vm="456">
        <f ca="1"/>
        <v>620.9</v>
      </c>
      <c r="K53" s="18">
        <f t="shared" ca="1" si="3"/>
        <v>8.7537345453572002E-2</v>
      </c>
      <c r="L53" s="18">
        <f t="shared" ca="1" si="3"/>
        <v>9.3621426839695515E-2</v>
      </c>
      <c r="M53" s="18">
        <f t="shared" ca="1" si="3"/>
        <v>-1.8901507767556263E-2</v>
      </c>
      <c r="N53" s="18">
        <f t="shared" ca="1" si="3"/>
        <v>2.7935455958937754E-2</v>
      </c>
      <c r="O53" s="18">
        <f t="shared" ca="1" si="3"/>
        <v>-4.490231103093394E-3</v>
      </c>
      <c r="P53" s="18">
        <f t="shared" ca="1" si="3"/>
        <v>-2.8564688986476943E-2</v>
      </c>
      <c r="Q53" s="18">
        <f t="shared" ca="1" si="3"/>
        <v>5.5194603840809882E-2</v>
      </c>
      <c r="R53" s="18">
        <f t="shared" ca="1" si="3"/>
        <v>5.2367985517315939E-2</v>
      </c>
      <c r="S53" s="18">
        <f t="shared" ca="1" si="4"/>
        <v>4.7410057203343008E-2</v>
      </c>
    </row>
    <row r="54" spans="1:19" ht="23.25" customHeight="1" x14ac:dyDescent="0.25">
      <c r="A54" s="24">
        <f t="shared" ca="1" si="2"/>
        <v>45839</v>
      </c>
      <c r="B54" s="7" vm="457">
        <f ca="1"/>
        <v>89.16</v>
      </c>
      <c r="C54" s="7" vm="458">
        <f ca="1"/>
        <v>296.24</v>
      </c>
      <c r="D54" s="7" vm="459">
        <f ca="1"/>
        <v>67.89</v>
      </c>
      <c r="E54" s="7" vm="460">
        <f ca="1"/>
        <v>218.76</v>
      </c>
      <c r="F54" s="7" vm="461">
        <f ca="1"/>
        <v>367.51</v>
      </c>
      <c r="G54" s="7" vm="462">
        <f ca="1"/>
        <v>30.93</v>
      </c>
      <c r="H54" s="7" vm="463">
        <f ca="1"/>
        <v>740.07</v>
      </c>
      <c r="I54" s="7" vm="464">
        <f ca="1"/>
        <v>111.64</v>
      </c>
      <c r="J54" s="7" vm="465">
        <f ca="1"/>
        <v>634.9</v>
      </c>
      <c r="K54" s="18">
        <f t="shared" ca="1" si="3"/>
        <v>-2.732622045945372E-2</v>
      </c>
      <c r="L54" s="18">
        <f t="shared" ca="1" si="3"/>
        <v>2.159940661934542E-2</v>
      </c>
      <c r="M54" s="18">
        <f t="shared" ca="1" si="3"/>
        <v>-4.126378820979125E-2</v>
      </c>
      <c r="N54" s="18">
        <f t="shared" ca="1" si="3"/>
        <v>4.6981597650098877E-2</v>
      </c>
      <c r="O54" s="18">
        <f t="shared" ca="1" si="3"/>
        <v>2.3700889661671075E-3</v>
      </c>
      <c r="P54" s="18">
        <f t="shared" ca="1" si="3"/>
        <v>-4.7665642550233804E-2</v>
      </c>
      <c r="Q54" s="18">
        <f t="shared" ca="1" si="3"/>
        <v>-5.194639764734086E-2</v>
      </c>
      <c r="R54" s="18">
        <f t="shared" ca="1" si="3"/>
        <v>3.5001750193224684E-2</v>
      </c>
      <c r="S54" s="18">
        <f t="shared" ca="1" si="4"/>
        <v>2.2297467805557206E-2</v>
      </c>
    </row>
    <row r="55" spans="1:19" ht="23.25" customHeight="1" x14ac:dyDescent="0.25">
      <c r="A55" s="24">
        <f t="shared" ca="1" si="2"/>
        <v>45870</v>
      </c>
      <c r="B55" s="7" vm="466">
        <f ca="1"/>
        <v>88.19</v>
      </c>
      <c r="C55" s="7" vm="467">
        <f ca="1"/>
        <v>301.42</v>
      </c>
      <c r="D55" s="7" vm="468">
        <f ca="1"/>
        <v>68.989999999999995</v>
      </c>
      <c r="E55" s="7" vm="469">
        <f ca="1"/>
        <v>241.82</v>
      </c>
      <c r="F55" s="7" vm="470">
        <f ca="1"/>
        <v>406.77</v>
      </c>
      <c r="G55" s="7" vm="471">
        <f ca="1"/>
        <v>32.9</v>
      </c>
      <c r="H55" s="7" vm="472">
        <f ca="1"/>
        <v>732.58</v>
      </c>
      <c r="I55" s="7" vm="216">
        <f ca="1"/>
        <v>114.29</v>
      </c>
      <c r="J55" s="7" vm="473">
        <f ca="1"/>
        <v>648.32000000000005</v>
      </c>
      <c r="K55" s="18">
        <f t="shared" ca="1" si="3"/>
        <v>-1.0938930617578675E-2</v>
      </c>
      <c r="L55" s="18">
        <f t="shared" ca="1" si="3"/>
        <v>1.733470438617303E-2</v>
      </c>
      <c r="M55" s="18">
        <f t="shared" ca="1" si="3"/>
        <v>1.6072818244461537E-2</v>
      </c>
      <c r="N55" s="18">
        <f t="shared" ca="1" si="3"/>
        <v>0.1002184092675287</v>
      </c>
      <c r="O55" s="18">
        <f t="shared" ca="1" si="3"/>
        <v>0.10149738597529173</v>
      </c>
      <c r="P55" s="18">
        <f t="shared" ca="1" si="3"/>
        <v>6.1746071074348007E-2</v>
      </c>
      <c r="Q55" s="18">
        <f t="shared" ca="1" si="3"/>
        <v>-1.017222637426211E-2</v>
      </c>
      <c r="R55" s="18">
        <f t="shared" ca="1" si="3"/>
        <v>2.3459669241385282E-2</v>
      </c>
      <c r="S55" s="18">
        <f t="shared" ca="1" si="4"/>
        <v>2.0916895443859846E-2</v>
      </c>
    </row>
    <row r="56" spans="1:19" ht="23.25" customHeight="1" x14ac:dyDescent="0.25">
      <c r="A56" s="24">
        <f t="shared" ca="1" si="2"/>
        <v>45901</v>
      </c>
      <c r="B56" s="7" vm="474">
        <f ca="1"/>
        <v>84.6</v>
      </c>
      <c r="C56" s="7" vm="475">
        <f ca="1"/>
        <v>315.43</v>
      </c>
      <c r="D56" s="7" vm="476">
        <f ca="1"/>
        <v>66.319999999999993</v>
      </c>
      <c r="E56" s="7" vm="477">
        <f ca="1"/>
        <v>246.22</v>
      </c>
      <c r="F56" s="7" vm="478">
        <f ca="1"/>
        <v>405.19</v>
      </c>
      <c r="G56" s="7" vm="479">
        <f ca="1"/>
        <v>31.91</v>
      </c>
      <c r="H56" s="7" vm="480">
        <f ca="1"/>
        <v>763</v>
      </c>
      <c r="I56" s="7" vm="481">
        <f ca="1"/>
        <v>112.75</v>
      </c>
      <c r="J56" s="7" vm="482">
        <f ca="1"/>
        <v>669.3</v>
      </c>
      <c r="K56" s="18">
        <f t="shared" ca="1" si="3"/>
        <v>-4.1559311287911897E-2</v>
      </c>
      <c r="L56" s="18">
        <f t="shared" ca="1" si="3"/>
        <v>4.5432146325393788E-2</v>
      </c>
      <c r="M56" s="18">
        <f t="shared" ca="1" si="3"/>
        <v>-3.9470055730977768E-2</v>
      </c>
      <c r="N56" s="18">
        <f t="shared" ca="1" si="3"/>
        <v>1.8031797473368361E-2</v>
      </c>
      <c r="O56" s="18">
        <f t="shared" ca="1" si="3"/>
        <v>-3.8918222431147966E-3</v>
      </c>
      <c r="P56" s="18">
        <f t="shared" ca="1" si="3"/>
        <v>-3.0553217481174004E-2</v>
      </c>
      <c r="Q56" s="18">
        <f t="shared" ca="1" si="3"/>
        <v>4.0685481339695483E-2</v>
      </c>
      <c r="R56" s="18">
        <f t="shared" ca="1" si="3"/>
        <v>-1.3566099526718903E-2</v>
      </c>
      <c r="S56" s="18">
        <f t="shared" ca="1" si="4"/>
        <v>3.1847988486332454E-2</v>
      </c>
    </row>
    <row r="57" spans="1:19" ht="23.25" customHeight="1" x14ac:dyDescent="0.25">
      <c r="A57" s="24">
        <f t="shared" ca="1" si="2"/>
        <v>45931</v>
      </c>
      <c r="B57" s="7" vm="483">
        <f ca="1"/>
        <v>80.87</v>
      </c>
      <c r="C57" s="7" vm="484">
        <f ca="1"/>
        <v>311.12</v>
      </c>
      <c r="D57" s="7" vm="485">
        <f ca="1"/>
        <v>68.900000000000006</v>
      </c>
      <c r="E57" s="7" vm="486">
        <f ca="1"/>
        <v>213.94</v>
      </c>
      <c r="F57" s="7" vm="487">
        <f ca="1"/>
        <v>379.59</v>
      </c>
      <c r="G57" s="7" vm="488">
        <f ca="1"/>
        <v>30.3</v>
      </c>
      <c r="H57" s="7" vm="489">
        <f ca="1"/>
        <v>862.86</v>
      </c>
      <c r="I57" s="7" vm="490">
        <f ca="1"/>
        <v>114.36</v>
      </c>
      <c r="J57" s="7" vm="491">
        <f ca="1"/>
        <v>685.23</v>
      </c>
      <c r="K57" s="18">
        <f t="shared" ca="1" si="3"/>
        <v>-4.509133950444668E-2</v>
      </c>
      <c r="L57" s="18">
        <f t="shared" ca="1" si="3"/>
        <v>-1.3758097469432195E-2</v>
      </c>
      <c r="M57" s="18">
        <f t="shared" ca="1" si="3"/>
        <v>3.816466719257345E-2</v>
      </c>
      <c r="N57" s="18">
        <f t="shared" ca="1" si="3"/>
        <v>-0.14052984334148413</v>
      </c>
      <c r="O57" s="18">
        <f t="shared" ca="1" si="3"/>
        <v>-6.5264370029930796E-2</v>
      </c>
      <c r="P57" s="18">
        <f t="shared" ca="1" si="3"/>
        <v>-5.1771727774828649E-2</v>
      </c>
      <c r="Q57" s="18">
        <f t="shared" ca="1" si="3"/>
        <v>0.12299442184188637</v>
      </c>
      <c r="R57" s="18">
        <f t="shared" ca="1" si="3"/>
        <v>1.4178389071323218E-2</v>
      </c>
      <c r="S57" s="18">
        <f t="shared" ca="1" si="4"/>
        <v>2.3522158222055816E-2</v>
      </c>
    </row>
    <row r="58" spans="1:19" ht="23.25" customHeight="1" x14ac:dyDescent="0.25">
      <c r="A58" s="24">
        <f t="shared" ca="1" si="2"/>
        <v>45962</v>
      </c>
      <c r="B58" s="7" vm="492">
        <f ca="1"/>
        <v>87.11</v>
      </c>
      <c r="C58" s="7" vm="493">
        <f ca="1"/>
        <v>313.08</v>
      </c>
      <c r="D58" s="7" vm="494">
        <f ca="1"/>
        <v>73.12</v>
      </c>
      <c r="E58" s="7" vm="495">
        <f ca="1"/>
        <v>195.32</v>
      </c>
      <c r="F58" s="7" vm="496">
        <f ca="1"/>
        <v>356.92</v>
      </c>
      <c r="G58" s="7" vm="497">
        <f ca="1"/>
        <v>34.81</v>
      </c>
      <c r="H58" s="7" vm="498">
        <f ca="1"/>
        <v>1075.47</v>
      </c>
      <c r="I58" s="7" vm="499">
        <f ca="1"/>
        <v>115.92</v>
      </c>
      <c r="J58" s="7" vm="500">
        <f ca="1"/>
        <v>686.88</v>
      </c>
      <c r="K58" s="18">
        <f t="shared" ca="1" si="3"/>
        <v>7.4328760723069737E-2</v>
      </c>
      <c r="L58" s="18">
        <f t="shared" ca="1" si="3"/>
        <v>6.2800590891455479E-3</v>
      </c>
      <c r="M58" s="18">
        <f t="shared" ca="1" si="3"/>
        <v>5.9445749126281734E-2</v>
      </c>
      <c r="N58" s="18">
        <f t="shared" ca="1" si="3"/>
        <v>-9.1056362684525313E-2</v>
      </c>
      <c r="O58" s="18">
        <f t="shared" ca="1" si="3"/>
        <v>-6.1580055837331248E-2</v>
      </c>
      <c r="P58" s="18">
        <f t="shared" ca="1" si="3"/>
        <v>0.13875698930802413</v>
      </c>
      <c r="Q58" s="18">
        <f t="shared" ca="1" si="3"/>
        <v>0.22026060118960719</v>
      </c>
      <c r="R58" s="18">
        <f t="shared" ca="1" si="3"/>
        <v>1.3548930558315872E-2</v>
      </c>
      <c r="S58" s="18">
        <f t="shared" ca="1" si="4"/>
        <v>2.4050561475982895E-3</v>
      </c>
    </row>
    <row r="59" spans="1:19" ht="23.25" customHeight="1" x14ac:dyDescent="0.25">
      <c r="A59" s="24">
        <f t="shared" ca="1" si="2"/>
        <v>45992</v>
      </c>
      <c r="B59" s="7" vm="501">
        <f ca="1"/>
        <v>84.21</v>
      </c>
      <c r="C59" s="7" vm="502">
        <f ca="1"/>
        <v>322.22000000000003</v>
      </c>
      <c r="D59" s="7" vm="503">
        <f ca="1"/>
        <v>69.91</v>
      </c>
      <c r="E59" s="7" vm="504">
        <f ca="1"/>
        <v>202.85</v>
      </c>
      <c r="F59" s="7" vm="505">
        <f ca="1"/>
        <v>344.1</v>
      </c>
      <c r="G59" s="7" vm="506">
        <f ca="1"/>
        <v>41.33</v>
      </c>
      <c r="H59" s="7" vm="507">
        <f ca="1"/>
        <v>1074.68</v>
      </c>
      <c r="I59" s="7" vm="508">
        <f ca="1"/>
        <v>120.34</v>
      </c>
      <c r="J59" s="7" vm="509">
        <f ca="1"/>
        <v>684.94</v>
      </c>
      <c r="K59" s="18">
        <f t="shared" ca="1" si="3"/>
        <v>-3.3858008788899857E-2</v>
      </c>
      <c r="L59" s="18">
        <f t="shared" ca="1" si="3"/>
        <v>2.8775793126203295E-2</v>
      </c>
      <c r="M59" s="18">
        <f t="shared" ca="1" si="3"/>
        <v>-4.4893226622000841E-2</v>
      </c>
      <c r="N59" s="18">
        <f t="shared" ca="1" si="3"/>
        <v>3.7827550458996703E-2</v>
      </c>
      <c r="O59" s="18">
        <f t="shared" ca="1" si="3"/>
        <v>-3.6579354228515923E-2</v>
      </c>
      <c r="P59" s="18">
        <f t="shared" ca="1" si="3"/>
        <v>0.17168392670029342</v>
      </c>
      <c r="Q59" s="18">
        <f t="shared" ca="1" si="3"/>
        <v>-7.3483248661588023E-4</v>
      </c>
      <c r="R59" s="18">
        <f t="shared" ca="1" si="3"/>
        <v>3.7420771779778851E-2</v>
      </c>
      <c r="S59" s="18">
        <f t="shared" ca="1" si="4"/>
        <v>-2.8283612912377641E-3</v>
      </c>
    </row>
    <row r="60" spans="1:19" ht="23.25" customHeight="1" x14ac:dyDescent="0.25">
      <c r="A60" s="24">
        <f t="shared" ca="1" si="2"/>
        <v>46023</v>
      </c>
      <c r="B60" s="7" vm="510">
        <f ca="1"/>
        <v>91.95</v>
      </c>
      <c r="C60" s="7" vm="511">
        <f ca="1"/>
        <v>305.89</v>
      </c>
      <c r="D60" s="7" vm="512">
        <f ca="1"/>
        <v>74.81</v>
      </c>
      <c r="E60" s="7" vm="513">
        <f ca="1"/>
        <v>201.64</v>
      </c>
      <c r="F60" s="7" vm="514">
        <f ca="1"/>
        <v>374.59</v>
      </c>
      <c r="G60" s="7" vm="515">
        <f ca="1"/>
        <v>47.52</v>
      </c>
      <c r="H60" s="7" vm="516">
        <f ca="1"/>
        <v>1037.1500000000001</v>
      </c>
      <c r="I60" s="7" vm="517">
        <f ca="1"/>
        <v>141.4</v>
      </c>
      <c r="J60" s="7" vm="518">
        <f ca="1"/>
        <v>695.03</v>
      </c>
      <c r="K60" s="18">
        <f t="shared" ca="1" si="3"/>
        <v>8.7931272008429304E-2</v>
      </c>
      <c r="L60" s="18">
        <f t="shared" ca="1" si="3"/>
        <v>-5.2008981862032878E-2</v>
      </c>
      <c r="M60" s="18">
        <f t="shared" ca="1" si="3"/>
        <v>6.7742865360419763E-2</v>
      </c>
      <c r="N60" s="18">
        <f t="shared" ca="1" si="3"/>
        <v>-5.9828604380261999E-3</v>
      </c>
      <c r="O60" s="18">
        <f t="shared" ca="1" si="3"/>
        <v>8.4899781708747443E-2</v>
      </c>
      <c r="P60" s="18">
        <f t="shared" ca="1" si="3"/>
        <v>0.13956204653074855</v>
      </c>
      <c r="Q60" s="18">
        <f t="shared" ca="1" si="3"/>
        <v>-3.554637603718009E-2</v>
      </c>
      <c r="R60" s="18">
        <f t="shared" ca="1" si="3"/>
        <v>0.16127168367026665</v>
      </c>
      <c r="S60" s="18">
        <f t="shared" ca="1" si="4"/>
        <v>1.4623766915803409E-2</v>
      </c>
    </row>
    <row r="61" spans="1:19" ht="23.25" customHeight="1" x14ac:dyDescent="0.25">
      <c r="A61" s="24">
        <f t="shared" ca="1" si="2"/>
        <v>46054</v>
      </c>
      <c r="B61" s="7" vm="519">
        <f ca="1"/>
        <v>98.02</v>
      </c>
      <c r="C61" s="7" vm="520">
        <f ca="1"/>
        <v>300.3</v>
      </c>
      <c r="D61" s="7" vm="521">
        <f ca="1"/>
        <v>81.56</v>
      </c>
      <c r="E61" s="7" vm="522">
        <f ca="1"/>
        <v>252.83</v>
      </c>
      <c r="F61" s="7" vm="523">
        <f ca="1"/>
        <v>380.72</v>
      </c>
      <c r="G61" s="7" vm="524">
        <f ca="1"/>
        <v>49.26</v>
      </c>
      <c r="H61" s="7" vm="525">
        <f ca="1"/>
        <v>1051.99</v>
      </c>
      <c r="I61" s="7" vm="526">
        <f ca="1"/>
        <v>152.5</v>
      </c>
      <c r="J61" s="7" vm="527">
        <f ca="1"/>
        <v>689.38</v>
      </c>
      <c r="K61" s="18">
        <f t="shared" ca="1" si="3"/>
        <v>6.3926588431071282E-2</v>
      </c>
      <c r="L61" s="18">
        <f t="shared" ca="1" si="3"/>
        <v>-1.8443585211523186E-2</v>
      </c>
      <c r="M61" s="18">
        <f t="shared" ca="1" si="3"/>
        <v>8.6387379821940904E-2</v>
      </c>
      <c r="N61" s="18">
        <f t="shared" ca="1" si="3"/>
        <v>0.22623339690351568</v>
      </c>
      <c r="O61" s="18">
        <f t="shared" ca="1" si="3"/>
        <v>1.6232102300672811E-2</v>
      </c>
      <c r="P61" s="18">
        <f t="shared" ca="1" si="3"/>
        <v>3.5961717638002301E-2</v>
      </c>
      <c r="Q61" s="18">
        <f t="shared" ca="1" si="3"/>
        <v>1.4207041756899044E-2</v>
      </c>
      <c r="R61" s="18">
        <f t="shared" ca="1" si="3"/>
        <v>7.5571842584993817E-2</v>
      </c>
      <c r="S61" s="18">
        <f t="shared" ca="1" si="4"/>
        <v>-8.162367172842102E-3</v>
      </c>
    </row>
    <row r="62" spans="1:19" ht="23.25" customHeight="1" x14ac:dyDescent="0.25">
      <c r="A62" s="24">
        <f t="shared" ca="1" si="2"/>
        <v>46082</v>
      </c>
      <c r="B62" s="7" vm="528">
        <f ca="1"/>
        <v>89.59</v>
      </c>
      <c r="C62" s="7" vm="529">
        <f ca="1"/>
        <v>294.16000000000003</v>
      </c>
      <c r="D62" s="7" vm="530">
        <f ca="1"/>
        <v>76.05</v>
      </c>
      <c r="E62" s="7" vm="531">
        <f ca="1"/>
        <v>232.01</v>
      </c>
      <c r="F62" s="7" vm="532">
        <f ca="1"/>
        <v>328.89</v>
      </c>
      <c r="G62" s="7" vm="533">
        <f ca="1"/>
        <v>37.57</v>
      </c>
      <c r="H62" s="7" vm="534">
        <f ca="1"/>
        <v>919.77</v>
      </c>
      <c r="I62" s="7" vm="535">
        <f ca="1"/>
        <v>169.66</v>
      </c>
      <c r="J62" s="7" vm="536">
        <f ca="1"/>
        <v>653.21</v>
      </c>
      <c r="K62" s="18">
        <f t="shared" ca="1" si="3"/>
        <v>-8.9927832871914373E-2</v>
      </c>
      <c r="L62" s="18">
        <f t="shared" ca="1" si="3"/>
        <v>-2.0658137996267929E-2</v>
      </c>
      <c r="M62" s="18">
        <f t="shared" ca="1" si="3"/>
        <v>-6.9947927000952592E-2</v>
      </c>
      <c r="N62" s="18">
        <f t="shared" ca="1" si="3"/>
        <v>-8.5936851932286978E-2</v>
      </c>
      <c r="O62" s="18">
        <f t="shared" ca="1" si="3"/>
        <v>-0.14634084845829684</v>
      </c>
      <c r="P62" s="18">
        <f t="shared" ca="1" si="3"/>
        <v>-0.27090653310651425</v>
      </c>
      <c r="Q62" s="18">
        <f t="shared" ca="1" si="3"/>
        <v>-0.13431524876117698</v>
      </c>
      <c r="R62" s="18">
        <f t="shared" ca="1" si="3"/>
        <v>0.10663183833212241</v>
      </c>
      <c r="S62" s="18">
        <f t="shared" ca="1" si="4"/>
        <v>-5.3893972702064044E-2</v>
      </c>
    </row>
    <row r="63" spans="1:19" ht="23.25" customHeight="1" x14ac:dyDescent="0.25">
      <c r="A63" s="24">
        <f t="shared" ca="1" si="2"/>
        <v>46113</v>
      </c>
      <c r="B63" s="7" vm="537">
        <f ca="1"/>
        <v>105.33</v>
      </c>
      <c r="C63" s="7" vm="538">
        <f ca="1"/>
        <v>313.23</v>
      </c>
      <c r="D63" s="7" vm="539">
        <f ca="1"/>
        <v>78.760000000000005</v>
      </c>
      <c r="E63" s="7" vm="540">
        <f ca="1"/>
        <v>251.14</v>
      </c>
      <c r="F63" s="7" vm="541">
        <f ca="1"/>
        <v>328.8</v>
      </c>
      <c r="G63" s="7" vm="542">
        <f ca="1"/>
        <v>37.92</v>
      </c>
      <c r="H63" s="7" vm="543">
        <f ca="1"/>
        <v>934.6</v>
      </c>
      <c r="I63" s="7" vm="544">
        <f ca="1"/>
        <v>154.33000000000001</v>
      </c>
      <c r="J63" s="7" vm="545">
        <f ca="1"/>
        <v>722.07</v>
      </c>
      <c r="K63" s="18">
        <f ca="1">LN(B63/B62)</f>
        <v>0.16185457223896346</v>
      </c>
      <c r="L63" s="18">
        <f t="shared" ref="L63:S63" ca="1" si="5">LN(C63/C62)</f>
        <v>6.2813907977112005E-2</v>
      </c>
      <c r="M63" s="18">
        <f t="shared" ca="1" si="5"/>
        <v>3.5014235065623005E-2</v>
      </c>
      <c r="N63" s="18">
        <f t="shared" ca="1" si="5"/>
        <v>7.9230078375158983E-2</v>
      </c>
      <c r="O63" s="18">
        <f t="shared" ca="1" si="5"/>
        <v>-2.7368517253345065E-4</v>
      </c>
      <c r="P63" s="18">
        <f t="shared" ca="1" si="5"/>
        <v>9.2728178009435329E-3</v>
      </c>
      <c r="Q63" s="18">
        <f t="shared" ca="1" si="5"/>
        <v>1.5994991478449259E-2</v>
      </c>
      <c r="R63" s="18">
        <f t="shared" ca="1" si="5"/>
        <v>-9.4703267466848443E-2</v>
      </c>
      <c r="S63" s="18">
        <f t="shared" ca="1" si="5"/>
        <v>0.10022341687587433</v>
      </c>
    </row>
    <row r="65" spans="1:19" ht="23.25" customHeight="1" x14ac:dyDescent="0.25">
      <c r="A65" s="17" t="s">
        <v>28</v>
      </c>
      <c r="K65" s="18">
        <f ca="1">_xlfn.STDEV.S(K4:K63)</f>
        <v>8.5826553602572977E-2</v>
      </c>
      <c r="L65" s="18">
        <f t="shared" ref="L65:S65" ca="1" si="6">_xlfn.STDEV.S(L4:L63)</f>
        <v>6.697734573976491E-2</v>
      </c>
      <c r="M65" s="18">
        <f t="shared" ca="1" si="6"/>
        <v>4.8003398442668065E-2</v>
      </c>
      <c r="N65" s="18">
        <f t="shared" ca="1" si="6"/>
        <v>7.9685659363544187E-2</v>
      </c>
      <c r="O65" s="18">
        <f t="shared" ca="1" si="6"/>
        <v>6.8192243690270452E-2</v>
      </c>
      <c r="P65" s="18">
        <f t="shared" ca="1" si="6"/>
        <v>0.10618676718882022</v>
      </c>
      <c r="Q65" s="18">
        <f t="shared" ca="1" si="6"/>
        <v>8.9153620657141802E-2</v>
      </c>
      <c r="R65" s="18">
        <f t="shared" ca="1" si="6"/>
        <v>7.5405174135090902E-2</v>
      </c>
      <c r="S65" s="18">
        <f t="shared" ca="1" si="6"/>
        <v>4.5874143790117956E-2</v>
      </c>
    </row>
    <row r="66" spans="1:19" ht="23.25" customHeight="1" x14ac:dyDescent="0.25">
      <c r="A66" s="17" t="s">
        <v>29</v>
      </c>
      <c r="K66" s="18">
        <f ca="1">K65*SQRT(12)</f>
        <v>0.2973119029563801</v>
      </c>
      <c r="L66" s="18">
        <f t="shared" ref="L66:S66" ca="1" si="7">L65*SQRT(12)</f>
        <v>0.23201633155475943</v>
      </c>
      <c r="M66" s="18">
        <f t="shared" ca="1" si="7"/>
        <v>0.16628865007734761</v>
      </c>
      <c r="N66" s="18">
        <f t="shared" ca="1" si="7"/>
        <v>0.27603922130457031</v>
      </c>
      <c r="O66" s="18">
        <f t="shared" ca="1" si="7"/>
        <v>0.23622486150733321</v>
      </c>
      <c r="P66" s="18">
        <f t="shared" ca="1" si="7"/>
        <v>0.36784175172504885</v>
      </c>
      <c r="Q66" s="18">
        <f t="shared" ca="1" si="7"/>
        <v>0.30883720131378356</v>
      </c>
      <c r="R66" s="18">
        <f t="shared" ca="1" si="7"/>
        <v>0.261211185511112</v>
      </c>
      <c r="S66" s="18">
        <f t="shared" ca="1" si="7"/>
        <v>0.15891269559640919</v>
      </c>
    </row>
    <row r="67" spans="1:19" ht="23.25" customHeight="1" x14ac:dyDescent="0.25">
      <c r="A67" s="17" t="s">
        <v>30</v>
      </c>
      <c r="K67" s="27">
        <f ca="1">CORREL(K4:K63,$S$4:$S$63)</f>
        <v>0.53966303767086499</v>
      </c>
      <c r="L67" s="27">
        <f t="shared" ref="L67:S67" ca="1" si="8">CORREL(L4:L63,$S$4:$S$63)</f>
        <v>0.69388907444547765</v>
      </c>
      <c r="M67" s="27">
        <f t="shared" ca="1" si="8"/>
        <v>0.35003330180432768</v>
      </c>
      <c r="N67" s="27">
        <f t="shared" ca="1" si="8"/>
        <v>0.54541605284352535</v>
      </c>
      <c r="O67" s="27">
        <f t="shared" ca="1" si="8"/>
        <v>0.66563570184149401</v>
      </c>
      <c r="P67" s="27">
        <f t="shared" ca="1" si="8"/>
        <v>0.48977955644780657</v>
      </c>
      <c r="Q67" s="27">
        <f t="shared" ca="1" si="8"/>
        <v>0.24820769026823875</v>
      </c>
      <c r="R67" s="27">
        <f t="shared" ca="1" si="8"/>
        <v>0.11181503520663549</v>
      </c>
      <c r="S67" s="27">
        <f t="shared" ca="1" si="8"/>
        <v>0.99999999999999978</v>
      </c>
    </row>
    <row r="68" spans="1:19" ht="23.25" customHeight="1" x14ac:dyDescent="0.25">
      <c r="A68" s="17" t="s">
        <v>31</v>
      </c>
      <c r="K68" s="27">
        <f ca="1">K67*(K66/$S$66)</f>
        <v>1.0096628471562532</v>
      </c>
      <c r="L68" s="27">
        <f t="shared" ref="L68:S68" ca="1" si="9">L67*(L66/$S$66)</f>
        <v>1.0130946237778431</v>
      </c>
      <c r="M68" s="27">
        <f t="shared" ca="1" si="9"/>
        <v>0.36628014533832937</v>
      </c>
      <c r="N68" s="27">
        <f t="shared" ca="1" si="9"/>
        <v>0.9474146917519225</v>
      </c>
      <c r="O68" s="27">
        <f t="shared" ca="1" si="9"/>
        <v>0.98947224381106325</v>
      </c>
      <c r="P68" s="27">
        <f t="shared" ca="1" si="9"/>
        <v>1.1337128813196569</v>
      </c>
      <c r="Q68" s="27">
        <f t="shared" ca="1" si="9"/>
        <v>0.48237661641385815</v>
      </c>
      <c r="R68" s="27">
        <f t="shared" ca="1" si="9"/>
        <v>0.1837948679598885</v>
      </c>
      <c r="S68" s="27">
        <f t="shared" ca="1" si="9"/>
        <v>0.99999999999999978</v>
      </c>
    </row>
    <row r="69" spans="1:19" ht="23.25" customHeight="1" x14ac:dyDescent="0.25">
      <c r="A69" s="17" t="s">
        <v>32</v>
      </c>
      <c r="J69" s="19"/>
      <c r="K69" s="19">
        <f ca="1">$U$1+K68*$U$2</f>
        <v>8.7550782287906442E-2</v>
      </c>
      <c r="L69" s="19">
        <f t="shared" ref="L69:R69" ca="1" si="10">$U$1+L68*$U$2</f>
        <v>8.774639355533706E-2</v>
      </c>
      <c r="M69" s="19">
        <f t="shared" ca="1" si="10"/>
        <v>5.0877968284284772E-2</v>
      </c>
      <c r="N69" s="19">
        <f t="shared" ca="1" si="10"/>
        <v>8.4002637429859583E-2</v>
      </c>
      <c r="O69" s="19">
        <f t="shared" ca="1" si="10"/>
        <v>8.6399917897230616E-2</v>
      </c>
      <c r="P69" s="19">
        <f t="shared" ca="1" si="10"/>
        <v>9.4621634235220436E-2</v>
      </c>
      <c r="Q69" s="19">
        <f t="shared" ca="1" si="10"/>
        <v>5.7495467135589916E-2</v>
      </c>
      <c r="R69" s="19">
        <f t="shared" ca="1" si="10"/>
        <v>4.0476307473713641E-2</v>
      </c>
      <c r="S69" s="20">
        <f ca="1">$U$1+S68*$U$2</f>
        <v>8.6999999999999994E-2</v>
      </c>
    </row>
    <row r="71" spans="1:19" ht="23.25" customHeight="1" x14ac:dyDescent="0.25">
      <c r="A71" s="24">
        <f ca="1">startDate</f>
        <v>44287</v>
      </c>
    </row>
    <row r="72" spans="1:19" ht="23.25" customHeight="1" x14ac:dyDescent="0.25">
      <c r="A72" s="24">
        <f ca="1">endDate</f>
        <v>46140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DB21-42B1-4681-8626-A8F169AC3D63}">
  <dimension ref="A1:N11"/>
  <sheetViews>
    <sheetView workbookViewId="0">
      <selection activeCell="D16" sqref="D16"/>
    </sheetView>
  </sheetViews>
  <sheetFormatPr defaultRowHeight="26.25" customHeight="1" x14ac:dyDescent="0.25"/>
  <cols>
    <col min="1" max="1" width="1.4375" style="7" bestFit="1" customWidth="1"/>
    <col min="2" max="2" width="3.1875" style="7" bestFit="1" customWidth="1"/>
    <col min="3" max="3" width="6.25" style="7" bestFit="1" customWidth="1"/>
    <col min="4" max="4" width="5.9375" style="7" bestFit="1" customWidth="1"/>
    <col min="5" max="5" width="6.25" style="7" bestFit="1" customWidth="1"/>
    <col min="6" max="7" width="5.9375" style="7" bestFit="1" customWidth="1"/>
    <col min="8" max="10" width="6.25" style="7" bestFit="1" customWidth="1"/>
    <col min="11" max="11" width="2.625" style="7" customWidth="1"/>
    <col min="12" max="12" width="3.75" style="7" customWidth="1"/>
    <col min="13" max="13" width="4.8125" style="7" bestFit="1" customWidth="1"/>
    <col min="14" max="14" width="4.9375" style="7" bestFit="1" customWidth="1"/>
    <col min="15" max="16384" width="9" style="7"/>
  </cols>
  <sheetData>
    <row r="1" spans="1:14" ht="26.25" customHeight="1" x14ac:dyDescent="0.25">
      <c r="C1" s="56" t="s">
        <v>33</v>
      </c>
      <c r="D1" s="56"/>
      <c r="E1" s="56"/>
      <c r="F1" s="56"/>
      <c r="G1" s="56"/>
      <c r="H1" s="56"/>
      <c r="I1" s="56"/>
      <c r="J1" s="56"/>
    </row>
    <row r="2" spans="1:14" ht="26.25" customHeight="1" x14ac:dyDescent="0.25">
      <c r="A2" s="29"/>
      <c r="B2" s="29"/>
      <c r="C2" s="23" t="str">
        <f>Returns!K3</f>
        <v>_1</v>
      </c>
      <c r="D2" s="23" t="str">
        <f>Returns!L3</f>
        <v>_2</v>
      </c>
      <c r="E2" s="23" t="str">
        <f>Returns!M3</f>
        <v>_3</v>
      </c>
      <c r="F2" s="23" t="str">
        <f>Returns!N3</f>
        <v>_4</v>
      </c>
      <c r="G2" s="23" t="str">
        <f>Returns!O3</f>
        <v>_5</v>
      </c>
      <c r="H2" s="23" t="str">
        <f>Returns!P3</f>
        <v>_6</v>
      </c>
      <c r="I2" s="23" t="str">
        <f>Returns!Q3</f>
        <v>_7</v>
      </c>
      <c r="J2" s="23" t="str">
        <f>Returns!R3</f>
        <v>_8</v>
      </c>
      <c r="K2" s="23"/>
      <c r="L2" s="29"/>
    </row>
    <row r="3" spans="1:14" ht="26.25" customHeight="1" x14ac:dyDescent="0.25">
      <c r="A3" s="29"/>
      <c r="B3" s="29"/>
      <c r="C3" s="23" t="str">
        <f>Returns!K2</f>
        <v>SBUX</v>
      </c>
      <c r="D3" s="23" t="str">
        <f>Returns!L2</f>
        <v>JPM</v>
      </c>
      <c r="E3" s="23" t="str">
        <f>Returns!M2</f>
        <v>KO</v>
      </c>
      <c r="F3" s="23" t="str">
        <f>Returns!N2</f>
        <v>GRMN</v>
      </c>
      <c r="G3" s="23" t="str">
        <f>Returns!O2</f>
        <v>HD</v>
      </c>
      <c r="H3" s="23" t="str">
        <f>Returns!P2</f>
        <v>LUV</v>
      </c>
      <c r="I3" s="23" t="str">
        <f>Returns!Q2</f>
        <v>LLY</v>
      </c>
      <c r="J3" s="23" t="str">
        <f>Returns!R2</f>
        <v>XOM</v>
      </c>
      <c r="M3" s="21" t="s">
        <v>34</v>
      </c>
      <c r="N3" s="21" t="s">
        <v>35</v>
      </c>
    </row>
    <row r="4" spans="1:14" ht="26.25" customHeight="1" x14ac:dyDescent="0.25">
      <c r="A4" s="30" t="str">
        <f>C2</f>
        <v>_1</v>
      </c>
      <c r="B4" s="23" t="str">
        <f>C3</f>
        <v>SBUX</v>
      </c>
      <c r="C4" s="31">
        <f ca="1">CORREL(_1,_1)</f>
        <v>1</v>
      </c>
      <c r="D4" s="32" cm="1">
        <f t="array" aca="1" ref="D4:J4" ca="1">TRANSPOSE(C5:C11)</f>
        <v>0.43297489278746354</v>
      </c>
      <c r="E4" s="32">
        <f ca="1"/>
        <v>0.34971725796476988</v>
      </c>
      <c r="F4" s="32">
        <f ca="1"/>
        <v>0.42045028440549237</v>
      </c>
      <c r="G4" s="32">
        <f ca="1"/>
        <v>0.47090627259599183</v>
      </c>
      <c r="H4" s="32">
        <f ca="1"/>
        <v>0.2396628339072166</v>
      </c>
      <c r="I4" s="32">
        <f ca="1"/>
        <v>0.22597541678097879</v>
      </c>
      <c r="J4" s="32">
        <f ca="1"/>
        <v>4.2598865930831724E-2</v>
      </c>
      <c r="L4" s="33" t="str">
        <f>B4</f>
        <v>SBUX</v>
      </c>
      <c r="M4" s="19">
        <f ca="1">Returns!K66</f>
        <v>0.2973119029563801</v>
      </c>
      <c r="N4" s="19">
        <f ca="1">Returns!K69</f>
        <v>8.7550782287906442E-2</v>
      </c>
    </row>
    <row r="5" spans="1:14" ht="26.25" customHeight="1" x14ac:dyDescent="0.25">
      <c r="A5" s="30" t="str">
        <f>D2</f>
        <v>_2</v>
      </c>
      <c r="B5" s="23" t="str">
        <f>D3</f>
        <v>JPM</v>
      </c>
      <c r="C5" s="34">
        <f ca="1">CORREL(_2,_1)</f>
        <v>0.43297489278746354</v>
      </c>
      <c r="D5" s="7">
        <f ca="1">CORREL(_2,_2)</f>
        <v>1</v>
      </c>
      <c r="E5" s="7" cm="1">
        <f t="array" aca="1" ref="E5:J5" ca="1">TRANSPOSE(D6:D11)</f>
        <v>0.13129262199138197</v>
      </c>
      <c r="F5" s="7">
        <f ca="1"/>
        <v>0.48597691329115172</v>
      </c>
      <c r="G5" s="7">
        <f ca="1"/>
        <v>0.49205714324966121</v>
      </c>
      <c r="H5" s="7">
        <f ca="1"/>
        <v>0.3974396763738845</v>
      </c>
      <c r="I5" s="7">
        <f ca="1"/>
        <v>4.5090348204961647E-2</v>
      </c>
      <c r="J5" s="7">
        <f ca="1"/>
        <v>0.20713111103807777</v>
      </c>
      <c r="L5" s="33" t="str">
        <f t="shared" ref="L5:L11" si="0">B5</f>
        <v>JPM</v>
      </c>
      <c r="M5" s="19">
        <f ca="1">Returns!L66</f>
        <v>0.23201633155475943</v>
      </c>
      <c r="N5" s="19">
        <f ca="1">Returns!L69</f>
        <v>8.774639355533706E-2</v>
      </c>
    </row>
    <row r="6" spans="1:14" ht="26.25" customHeight="1" x14ac:dyDescent="0.25">
      <c r="A6" s="30" t="str">
        <f>E2</f>
        <v>_3</v>
      </c>
      <c r="B6" s="23" t="str">
        <f>E3</f>
        <v>KO</v>
      </c>
      <c r="C6" s="34">
        <f ca="1">CORREL(_3,_1)</f>
        <v>0.34971725796476988</v>
      </c>
      <c r="D6" s="7">
        <f ca="1">CORREL(_3,_2)</f>
        <v>0.13129262199138197</v>
      </c>
      <c r="E6" s="7">
        <f ca="1">CORREL(_3,_3)</f>
        <v>1</v>
      </c>
      <c r="F6" s="7" cm="1">
        <f t="array" aca="1" ref="F6:J6" ca="1">TRANSPOSE(E7:E11)</f>
        <v>0.2029195440540717</v>
      </c>
      <c r="G6" s="7">
        <f ca="1"/>
        <v>0.29404330449051763</v>
      </c>
      <c r="H6" s="7">
        <f ca="1"/>
        <v>0.25566857094781531</v>
      </c>
      <c r="I6" s="7">
        <f ca="1"/>
        <v>0.37246761475576995</v>
      </c>
      <c r="J6" s="7">
        <f ca="1"/>
        <v>0.24847210526319047</v>
      </c>
      <c r="L6" s="33" t="str">
        <f t="shared" si="0"/>
        <v>KO</v>
      </c>
      <c r="M6" s="19">
        <f ca="1">Returns!M66</f>
        <v>0.16628865007734761</v>
      </c>
      <c r="N6" s="19">
        <f ca="1">Returns!M69</f>
        <v>5.0877968284284772E-2</v>
      </c>
    </row>
    <row r="7" spans="1:14" ht="26.25" customHeight="1" x14ac:dyDescent="0.25">
      <c r="A7" s="30" t="str">
        <f>F2</f>
        <v>_4</v>
      </c>
      <c r="B7" s="23" t="str">
        <f>F3</f>
        <v>GRMN</v>
      </c>
      <c r="C7" s="34">
        <f ca="1">CORREL(_4,_1)</f>
        <v>0.42045028440549237</v>
      </c>
      <c r="D7" s="7">
        <f ca="1">CORREL(_4,_2)</f>
        <v>0.48597691329115172</v>
      </c>
      <c r="E7" s="7">
        <f ca="1">CORREL(_4,_3)</f>
        <v>0.2029195440540717</v>
      </c>
      <c r="F7" s="7">
        <f ca="1">CORREL(_4,_4)</f>
        <v>0.99999999999999989</v>
      </c>
      <c r="G7" s="7" cm="1">
        <f t="array" aca="1" ref="G7:J7" ca="1">TRANSPOSE(F8:F11)</f>
        <v>0.40317885785109875</v>
      </c>
      <c r="H7" s="7">
        <f ca="1"/>
        <v>0.38910677798103899</v>
      </c>
      <c r="I7" s="7">
        <f ca="1"/>
        <v>7.2784763821020643E-2</v>
      </c>
      <c r="J7" s="7">
        <f ca="1"/>
        <v>2.3883096177428273E-3</v>
      </c>
      <c r="L7" s="33" t="str">
        <f t="shared" si="0"/>
        <v>GRMN</v>
      </c>
      <c r="M7" s="19">
        <f ca="1">Returns!N66</f>
        <v>0.27603922130457031</v>
      </c>
      <c r="N7" s="19">
        <f ca="1">Returns!N69</f>
        <v>8.4002637429859583E-2</v>
      </c>
    </row>
    <row r="8" spans="1:14" ht="26.25" customHeight="1" x14ac:dyDescent="0.25">
      <c r="A8" s="30" t="str">
        <f>G2</f>
        <v>_5</v>
      </c>
      <c r="B8" s="23" t="str">
        <f>G3</f>
        <v>HD</v>
      </c>
      <c r="C8" s="34">
        <f ca="1">CORREL(_5,_1)</f>
        <v>0.47090627259599183</v>
      </c>
      <c r="D8" s="7">
        <f ca="1">CORREL(_5,_2)</f>
        <v>0.49205714324966121</v>
      </c>
      <c r="E8" s="7">
        <f ca="1">CORREL(_5,_3)</f>
        <v>0.29404330449051763</v>
      </c>
      <c r="F8" s="7">
        <f ca="1">CORREL(_5,_4)</f>
        <v>0.40317885785109875</v>
      </c>
      <c r="G8" s="7">
        <f ca="1">CORREL(_5,_5)</f>
        <v>1.0000000000000002</v>
      </c>
      <c r="H8" s="7" cm="1">
        <f t="array" aca="1" ref="H8:J8" ca="1">TRANSPOSE(G9:G11)</f>
        <v>0.42419586837874163</v>
      </c>
      <c r="I8" s="7">
        <f ca="1"/>
        <v>0.10631444573931706</v>
      </c>
      <c r="J8" s="7">
        <f ca="1"/>
        <v>0.11716605190855731</v>
      </c>
      <c r="L8" s="33" t="str">
        <f t="shared" si="0"/>
        <v>HD</v>
      </c>
      <c r="M8" s="19">
        <f ca="1">Returns!O66</f>
        <v>0.23622486150733321</v>
      </c>
      <c r="N8" s="19">
        <f ca="1">Returns!O69</f>
        <v>8.6399917897230616E-2</v>
      </c>
    </row>
    <row r="9" spans="1:14" ht="26.25" customHeight="1" x14ac:dyDescent="0.25">
      <c r="A9" s="30" t="str">
        <f>H2</f>
        <v>_6</v>
      </c>
      <c r="B9" s="23" t="str">
        <f>H3</f>
        <v>LUV</v>
      </c>
      <c r="C9" s="34">
        <f ca="1">CORREL(_6,_1)</f>
        <v>0.2396628339072166</v>
      </c>
      <c r="D9" s="7">
        <f ca="1">CORREL(_6,_2)</f>
        <v>0.3974396763738845</v>
      </c>
      <c r="E9" s="7">
        <f ca="1">CORREL(_6,_3)</f>
        <v>0.25566857094781531</v>
      </c>
      <c r="F9" s="7">
        <f ca="1">CORREL(_6,_4)</f>
        <v>0.38910677798103899</v>
      </c>
      <c r="G9" s="7">
        <f ca="1">CORREL(_6,_5)</f>
        <v>0.42419586837874163</v>
      </c>
      <c r="H9" s="7">
        <f ca="1">CORREL(_6,_6)</f>
        <v>1.0000000000000002</v>
      </c>
      <c r="I9" s="7" cm="1">
        <f t="array" aca="1" ref="I9:J9" ca="1">TRANSPOSE(H10:H11)</f>
        <v>1.8839488619604404E-2</v>
      </c>
      <c r="J9" s="7">
        <f ca="1"/>
        <v>0.24765454033333256</v>
      </c>
      <c r="L9" s="33" t="str">
        <f t="shared" si="0"/>
        <v>LUV</v>
      </c>
      <c r="M9" s="19">
        <f ca="1">Returns!P66</f>
        <v>0.36784175172504885</v>
      </c>
      <c r="N9" s="19">
        <f ca="1">Returns!P69</f>
        <v>9.4621634235220436E-2</v>
      </c>
    </row>
    <row r="10" spans="1:14" ht="26.25" customHeight="1" x14ac:dyDescent="0.25">
      <c r="A10" s="30" t="str">
        <f>I2</f>
        <v>_7</v>
      </c>
      <c r="B10" s="23" t="str">
        <f>I3</f>
        <v>LLY</v>
      </c>
      <c r="C10" s="34">
        <f ca="1">CORREL(_7,_1)</f>
        <v>0.22597541678097879</v>
      </c>
      <c r="D10" s="7">
        <f ca="1">CORREL(_7,_2)</f>
        <v>4.5090348204961647E-2</v>
      </c>
      <c r="E10" s="7">
        <f ca="1">CORREL(_7,_3)</f>
        <v>0.37246761475576995</v>
      </c>
      <c r="F10" s="7">
        <f ca="1">CORREL(_7,_4)</f>
        <v>7.2784763821020643E-2</v>
      </c>
      <c r="G10" s="7">
        <f ca="1">CORREL(_7,_5)</f>
        <v>0.10631444573931706</v>
      </c>
      <c r="H10" s="7">
        <f ca="1">CORREL(_7,_6)</f>
        <v>1.8839488619604404E-2</v>
      </c>
      <c r="I10" s="7">
        <f ca="1">CORREL(_7,_7)</f>
        <v>1</v>
      </c>
      <c r="J10" s="7" cm="1">
        <f t="array" aca="1" ref="J10" ca="1">TRANSPOSE(I11)</f>
        <v>-4.3702316923418513E-2</v>
      </c>
      <c r="L10" s="33" t="str">
        <f t="shared" si="0"/>
        <v>LLY</v>
      </c>
      <c r="M10" s="19">
        <f ca="1">Returns!Q66</f>
        <v>0.30883720131378356</v>
      </c>
      <c r="N10" s="19">
        <f ca="1">Returns!Q69</f>
        <v>5.7495467135589916E-2</v>
      </c>
    </row>
    <row r="11" spans="1:14" ht="26.25" customHeight="1" x14ac:dyDescent="0.25">
      <c r="A11" s="30" t="str">
        <f>J2</f>
        <v>_8</v>
      </c>
      <c r="B11" s="23" t="str">
        <f>J3</f>
        <v>XOM</v>
      </c>
      <c r="C11" s="34">
        <f ca="1">CORREL(_8,_1)</f>
        <v>4.2598865930831724E-2</v>
      </c>
      <c r="D11" s="7">
        <f ca="1">CORREL(_8,_2)</f>
        <v>0.20713111103807777</v>
      </c>
      <c r="E11" s="7">
        <f ca="1">CORREL(_8,_3)</f>
        <v>0.24847210526319047</v>
      </c>
      <c r="F11" s="7">
        <f ca="1">CORREL(_8,_4)</f>
        <v>2.3883096177428273E-3</v>
      </c>
      <c r="G11" s="7">
        <f ca="1">CORREL(_8,_5)</f>
        <v>0.11716605190855731</v>
      </c>
      <c r="H11" s="7">
        <f ca="1">CORREL(_8,_6)</f>
        <v>0.24765454033333256</v>
      </c>
      <c r="I11" s="7">
        <f ca="1">CORREL(_8,_7)</f>
        <v>-4.3702316923418513E-2</v>
      </c>
      <c r="J11" s="7">
        <f ca="1">CORREL(_8,_8)</f>
        <v>0.99999999999999989</v>
      </c>
      <c r="L11" s="33" t="str">
        <f t="shared" si="0"/>
        <v>XOM</v>
      </c>
      <c r="M11" s="19">
        <f ca="1">Returns!R66</f>
        <v>0.261211185511112</v>
      </c>
      <c r="N11" s="19">
        <f ca="1">Returns!R69</f>
        <v>4.0476307473713641E-2</v>
      </c>
    </row>
  </sheetData>
  <mergeCells count="1">
    <mergeCell ref="C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97F1B-C1AB-4D67-9D10-5EB232129D5F}">
  <dimension ref="A1:J29"/>
  <sheetViews>
    <sheetView workbookViewId="0">
      <selection activeCell="B10" sqref="B10"/>
    </sheetView>
  </sheetViews>
  <sheetFormatPr defaultRowHeight="25.5" customHeight="1" x14ac:dyDescent="0.25"/>
  <cols>
    <col min="1" max="1" width="4.5" style="7" bestFit="1" customWidth="1"/>
    <col min="2" max="2" width="5.9375" style="7" bestFit="1" customWidth="1"/>
    <col min="3" max="3" width="4.5" style="7" bestFit="1" customWidth="1"/>
    <col min="4" max="7" width="5.9375" style="7" bestFit="1" customWidth="1"/>
    <col min="8" max="8" width="6.25" style="7" bestFit="1" customWidth="1"/>
    <col min="9" max="10" width="5.9375" style="7" bestFit="1" customWidth="1"/>
    <col min="11" max="16384" width="9" style="7"/>
  </cols>
  <sheetData>
    <row r="1" spans="1:10" ht="25.5" customHeight="1" x14ac:dyDescent="0.25">
      <c r="D1" s="57" t="s">
        <v>36</v>
      </c>
      <c r="E1" s="57"/>
      <c r="F1" s="57"/>
      <c r="G1" s="57"/>
      <c r="H1" s="57"/>
      <c r="I1" s="57"/>
    </row>
    <row r="2" spans="1:10" ht="25.5" customHeight="1" x14ac:dyDescent="0.25">
      <c r="C2" s="35" t="str">
        <f>'Correlation Matrix'!C3</f>
        <v>SBUX</v>
      </c>
      <c r="D2" s="35" t="str">
        <f>'Correlation Matrix'!D3</f>
        <v>JPM</v>
      </c>
      <c r="E2" s="35" t="str">
        <f>'Correlation Matrix'!E3</f>
        <v>KO</v>
      </c>
      <c r="F2" s="35" t="str">
        <f>'Correlation Matrix'!F3</f>
        <v>GRMN</v>
      </c>
      <c r="G2" s="35" t="str">
        <f>'Correlation Matrix'!G3</f>
        <v>HD</v>
      </c>
      <c r="H2" s="35" t="str">
        <f>'Correlation Matrix'!H3</f>
        <v>LUV</v>
      </c>
      <c r="I2" s="35" t="str">
        <f>'Correlation Matrix'!I3</f>
        <v>LLY</v>
      </c>
      <c r="J2" s="35" t="str">
        <f>'Correlation Matrix'!J3</f>
        <v>XOM</v>
      </c>
    </row>
    <row r="3" spans="1:10" ht="25.5" customHeight="1" x14ac:dyDescent="0.25">
      <c r="B3" s="36" t="str">
        <f>C2</f>
        <v>SBUX</v>
      </c>
      <c r="C3" s="26">
        <f ca="1">'Correlation Matrix'!C4*'Correlation Matrix'!$M$4*'Correlation Matrix'!M4</f>
        <v>8.8394367639543975E-2</v>
      </c>
      <c r="D3" s="26">
        <f ca="1">'Correlation Matrix'!D4*'Correlation Matrix'!$M$5*'Correlation Matrix'!M4</f>
        <v>2.986713505722367E-2</v>
      </c>
      <c r="E3" s="26">
        <f ca="1">'Correlation Matrix'!E4*'Correlation Matrix'!$M$6*'Correlation Matrix'!M4</f>
        <v>1.728987959638063E-2</v>
      </c>
      <c r="F3" s="26">
        <f ca="1">'Correlation Matrix'!F4*'Correlation Matrix'!$M$7*'Correlation Matrix'!M4</f>
        <v>3.4506248121062906E-2</v>
      </c>
      <c r="G3" s="26">
        <f ca="1">'Correlation Matrix'!G4*'Correlation Matrix'!$M$8*'Correlation Matrix'!M4</f>
        <v>3.3072907413822572E-2</v>
      </c>
      <c r="H3" s="26">
        <f ca="1">'Correlation Matrix'!H4*'Correlation Matrix'!$M$9*'Correlation Matrix'!M4</f>
        <v>2.6210421744185537E-2</v>
      </c>
      <c r="I3" s="26">
        <f ca="1">'Correlation Matrix'!I4*'Correlation Matrix'!$M$10*'Correlation Matrix'!M4</f>
        <v>2.0749283326784745E-2</v>
      </c>
      <c r="J3" s="26">
        <f ca="1">'Correlation Matrix'!J4*'Correlation Matrix'!$M$11*'Correlation Matrix'!M4</f>
        <v>3.3082788184039006E-3</v>
      </c>
    </row>
    <row r="4" spans="1:10" ht="25.5" customHeight="1" x14ac:dyDescent="0.25">
      <c r="B4" s="36" t="str">
        <f>D2</f>
        <v>JPM</v>
      </c>
      <c r="C4" s="26">
        <f ca="1">'Correlation Matrix'!C5*'Correlation Matrix'!$M$4*'Correlation Matrix'!M5</f>
        <v>2.9867135057223673E-2</v>
      </c>
      <c r="D4" s="26">
        <f ca="1">'Correlation Matrix'!D5*'Correlation Matrix'!$M$5*'Correlation Matrix'!M5</f>
        <v>5.3831578108128053E-2</v>
      </c>
      <c r="E4" s="26">
        <f ca="1">'Correlation Matrix'!E5*'Correlation Matrix'!$M$6*'Correlation Matrix'!M5</f>
        <v>5.0654902654727841E-3</v>
      </c>
      <c r="F4" s="26">
        <f ca="1">'Correlation Matrix'!F5*'Correlation Matrix'!$M$7*'Correlation Matrix'!M5</f>
        <v>3.1124686638973748E-2</v>
      </c>
      <c r="G4" s="26">
        <f ca="1">'Correlation Matrix'!G5*'Correlation Matrix'!$M$8*'Correlation Matrix'!M5</f>
        <v>2.6968680596870669E-2</v>
      </c>
      <c r="H4" s="26">
        <f ca="1">'Correlation Matrix'!H5*'Correlation Matrix'!$M$9*'Correlation Matrix'!M5</f>
        <v>3.391960595900357E-2</v>
      </c>
      <c r="I4" s="26">
        <f ca="1">'Correlation Matrix'!I5*'Correlation Matrix'!$M$10*'Correlation Matrix'!M5</f>
        <v>3.230961277767615E-3</v>
      </c>
      <c r="J4" s="26">
        <f ca="1">'Correlation Matrix'!J5*'Correlation Matrix'!$M$11*'Correlation Matrix'!M5</f>
        <v>1.2553235050520839E-2</v>
      </c>
    </row>
    <row r="5" spans="1:10" ht="25.5" customHeight="1" x14ac:dyDescent="0.25">
      <c r="B5" s="36" t="str">
        <f>E2</f>
        <v>KO</v>
      </c>
      <c r="C5" s="26">
        <f ca="1">'Correlation Matrix'!C6*'Correlation Matrix'!$M$4*'Correlation Matrix'!M6</f>
        <v>1.7289879596380626E-2</v>
      </c>
      <c r="D5" s="26">
        <f ca="1">'Correlation Matrix'!D6*'Correlation Matrix'!$M$5*'Correlation Matrix'!M6</f>
        <v>5.0654902654727841E-3</v>
      </c>
      <c r="E5" s="26">
        <f ca="1">'Correlation Matrix'!E6*'Correlation Matrix'!$M$6*'Correlation Matrix'!M6</f>
        <v>2.7651915144546558E-2</v>
      </c>
      <c r="F5" s="26">
        <f ca="1">'Correlation Matrix'!F6*'Correlation Matrix'!$M$7*'Correlation Matrix'!M6</f>
        <v>9.3144513601905368E-3</v>
      </c>
      <c r="G5" s="26">
        <f ca="1">'Correlation Matrix'!G6*'Correlation Matrix'!$M$8*'Correlation Matrix'!M6</f>
        <v>1.1550465986341997E-2</v>
      </c>
      <c r="H5" s="26">
        <f ca="1">'Correlation Matrix'!H6*'Correlation Matrix'!$M$9*'Correlation Matrix'!M6</f>
        <v>1.5638711712245911E-2</v>
      </c>
      <c r="I5" s="26">
        <f ca="1">'Correlation Matrix'!I6*'Correlation Matrix'!$M$10*'Correlation Matrix'!M6</f>
        <v>1.9128492003769319E-2</v>
      </c>
      <c r="J5" s="26">
        <f ca="1">'Correlation Matrix'!J6*'Correlation Matrix'!$M$11*'Correlation Matrix'!M6</f>
        <v>1.0792747524309004E-2</v>
      </c>
    </row>
    <row r="6" spans="1:10" ht="25.5" customHeight="1" x14ac:dyDescent="0.25">
      <c r="B6" s="36" t="str">
        <f>F2</f>
        <v>GRMN</v>
      </c>
      <c r="C6" s="26">
        <f ca="1">'Correlation Matrix'!C7*'Correlation Matrix'!$M$4*'Correlation Matrix'!M7</f>
        <v>3.4506248121062906E-2</v>
      </c>
      <c r="D6" s="26">
        <f ca="1">'Correlation Matrix'!D7*'Correlation Matrix'!$M$5*'Correlation Matrix'!M7</f>
        <v>3.1124686638973751E-2</v>
      </c>
      <c r="E6" s="26">
        <f ca="1">'Correlation Matrix'!E7*'Correlation Matrix'!$M$6*'Correlation Matrix'!M7</f>
        <v>9.3144513601905368E-3</v>
      </c>
      <c r="F6" s="26">
        <f ca="1">'Correlation Matrix'!F7*'Correlation Matrix'!$M$7*'Correlation Matrix'!M7</f>
        <v>7.6197651698433524E-2</v>
      </c>
      <c r="G6" s="26">
        <f ca="1">'Correlation Matrix'!G7*'Correlation Matrix'!$M$8*'Correlation Matrix'!M7</f>
        <v>2.6290215552126989E-2</v>
      </c>
      <c r="H6" s="26">
        <f ca="1">'Correlation Matrix'!H7*'Correlation Matrix'!$M$9*'Correlation Matrix'!M7</f>
        <v>3.9509416128790199E-2</v>
      </c>
      <c r="I6" s="26">
        <f ca="1">'Correlation Matrix'!I7*'Correlation Matrix'!$M$10*'Correlation Matrix'!M7</f>
        <v>6.2049870425620636E-3</v>
      </c>
      <c r="J6" s="26">
        <f ca="1">'Correlation Matrix'!J7*'Correlation Matrix'!$M$11*'Correlation Matrix'!M7</f>
        <v>1.7220794784246124E-4</v>
      </c>
    </row>
    <row r="7" spans="1:10" ht="25.5" customHeight="1" x14ac:dyDescent="0.25">
      <c r="B7" s="36" t="str">
        <f>G2</f>
        <v>HD</v>
      </c>
      <c r="C7" s="26">
        <f ca="1">'Correlation Matrix'!C8*'Correlation Matrix'!$M$4*'Correlation Matrix'!M8</f>
        <v>3.3072907413822572E-2</v>
      </c>
      <c r="D7" s="26">
        <f ca="1">'Correlation Matrix'!D8*'Correlation Matrix'!$M$5*'Correlation Matrix'!M8</f>
        <v>2.6968680596870673E-2</v>
      </c>
      <c r="E7" s="26">
        <f ca="1">'Correlation Matrix'!E8*'Correlation Matrix'!$M$6*'Correlation Matrix'!M8</f>
        <v>1.1550465986341997E-2</v>
      </c>
      <c r="F7" s="26">
        <f ca="1">'Correlation Matrix'!F8*'Correlation Matrix'!$M$7*'Correlation Matrix'!M8</f>
        <v>2.6290215552126985E-2</v>
      </c>
      <c r="G7" s="26">
        <f ca="1">'Correlation Matrix'!G8*'Correlation Matrix'!$M$8*'Correlation Matrix'!M8</f>
        <v>5.580218519415877E-2</v>
      </c>
      <c r="H7" s="26">
        <f ca="1">'Correlation Matrix'!H8*'Correlation Matrix'!$M$9*'Correlation Matrix'!M8</f>
        <v>3.6859807210624408E-2</v>
      </c>
      <c r="I7" s="26">
        <f ca="1">'Correlation Matrix'!I8*'Correlation Matrix'!$M$10*'Correlation Matrix'!M8</f>
        <v>7.7561730583252438E-3</v>
      </c>
      <c r="J7" s="26">
        <f ca="1">'Correlation Matrix'!J8*'Correlation Matrix'!$M$11*'Correlation Matrix'!M8</f>
        <v>7.2296815688505638E-3</v>
      </c>
    </row>
    <row r="8" spans="1:10" ht="25.5" customHeight="1" x14ac:dyDescent="0.25">
      <c r="B8" s="36" t="str">
        <f>H2</f>
        <v>LUV</v>
      </c>
      <c r="C8" s="26">
        <f ca="1">'Correlation Matrix'!C9*'Correlation Matrix'!$M$4*'Correlation Matrix'!M9</f>
        <v>2.6210421744185541E-2</v>
      </c>
      <c r="D8" s="26">
        <f ca="1">'Correlation Matrix'!D9*'Correlation Matrix'!$M$5*'Correlation Matrix'!M9</f>
        <v>3.391960595900357E-2</v>
      </c>
      <c r="E8" s="26">
        <f ca="1">'Correlation Matrix'!E9*'Correlation Matrix'!$M$6*'Correlation Matrix'!M9</f>
        <v>1.5638711712245908E-2</v>
      </c>
      <c r="F8" s="26">
        <f ca="1">'Correlation Matrix'!F9*'Correlation Matrix'!$M$7*'Correlation Matrix'!M9</f>
        <v>3.9509416128790199E-2</v>
      </c>
      <c r="G8" s="26">
        <f ca="1">'Correlation Matrix'!G9*'Correlation Matrix'!$M$8*'Correlation Matrix'!M9</f>
        <v>3.6859807210624408E-2</v>
      </c>
      <c r="H8" s="26">
        <f ca="1">'Correlation Matrix'!H9*'Correlation Matrix'!$M$9*'Correlation Matrix'!M9</f>
        <v>0.13530755431215249</v>
      </c>
      <c r="I8" s="26">
        <f ca="1">'Correlation Matrix'!I9*'Correlation Matrix'!$M$10*'Correlation Matrix'!M9</f>
        <v>2.1402265162545741E-3</v>
      </c>
      <c r="J8" s="26">
        <f ca="1">'Correlation Matrix'!J9*'Correlation Matrix'!$M$11*'Correlation Matrix'!M9</f>
        <v>2.3795732974145334E-2</v>
      </c>
    </row>
    <row r="9" spans="1:10" ht="25.5" customHeight="1" x14ac:dyDescent="0.25">
      <c r="B9" s="36" t="str">
        <f>I2</f>
        <v>LLY</v>
      </c>
      <c r="C9" s="26">
        <f ca="1">'Correlation Matrix'!C10*'Correlation Matrix'!$M$4*'Correlation Matrix'!M10</f>
        <v>2.0749283326784749E-2</v>
      </c>
      <c r="D9" s="26">
        <f ca="1">'Correlation Matrix'!D10*'Correlation Matrix'!$M$5*'Correlation Matrix'!M10</f>
        <v>3.230961277767615E-3</v>
      </c>
      <c r="E9" s="26">
        <f ca="1">'Correlation Matrix'!E10*'Correlation Matrix'!$M$6*'Correlation Matrix'!M10</f>
        <v>1.9128492003769315E-2</v>
      </c>
      <c r="F9" s="26">
        <f ca="1">'Correlation Matrix'!F10*'Correlation Matrix'!$M$7*'Correlation Matrix'!M10</f>
        <v>6.2049870425620636E-3</v>
      </c>
      <c r="G9" s="26">
        <f ca="1">'Correlation Matrix'!G10*'Correlation Matrix'!$M$8*'Correlation Matrix'!M10</f>
        <v>7.756173058325243E-3</v>
      </c>
      <c r="H9" s="26">
        <f ca="1">'Correlation Matrix'!H10*'Correlation Matrix'!$M$9*'Correlation Matrix'!M10</f>
        <v>2.1402265162545741E-3</v>
      </c>
      <c r="I9" s="26">
        <f ca="1">'Correlation Matrix'!I10*'Correlation Matrix'!$M$10*'Correlation Matrix'!M10</f>
        <v>9.5380416915330474E-2</v>
      </c>
      <c r="J9" s="26">
        <f ca="1">'Correlation Matrix'!J10*'Correlation Matrix'!$M$11*'Correlation Matrix'!M10</f>
        <v>-3.5255415761230812E-3</v>
      </c>
    </row>
    <row r="10" spans="1:10" ht="25.5" customHeight="1" x14ac:dyDescent="0.25">
      <c r="B10" s="36" t="str">
        <f>J2</f>
        <v>XOM</v>
      </c>
      <c r="C10" s="26">
        <f ca="1">'Correlation Matrix'!C11*'Correlation Matrix'!$M$4*'Correlation Matrix'!M11</f>
        <v>3.3082788184039006E-3</v>
      </c>
      <c r="D10" s="26">
        <f ca="1">'Correlation Matrix'!D11*'Correlation Matrix'!$M$5*'Correlation Matrix'!M11</f>
        <v>1.2553235050520839E-2</v>
      </c>
      <c r="E10" s="26">
        <f ca="1">'Correlation Matrix'!E11*'Correlation Matrix'!$M$6*'Correlation Matrix'!M11</f>
        <v>1.0792747524309004E-2</v>
      </c>
      <c r="F10" s="26">
        <f ca="1">'Correlation Matrix'!F11*'Correlation Matrix'!$M$7*'Correlation Matrix'!M11</f>
        <v>1.7220794784246124E-4</v>
      </c>
      <c r="G10" s="26">
        <f ca="1">'Correlation Matrix'!G11*'Correlation Matrix'!$M$8*'Correlation Matrix'!M11</f>
        <v>7.2296815688505638E-3</v>
      </c>
      <c r="H10" s="26">
        <f ca="1">'Correlation Matrix'!H11*'Correlation Matrix'!$M$9*'Correlation Matrix'!M11</f>
        <v>2.3795732974145334E-2</v>
      </c>
      <c r="I10" s="26">
        <f ca="1">'Correlation Matrix'!I11*'Correlation Matrix'!$M$10*'Correlation Matrix'!M11</f>
        <v>-3.5255415761230816E-3</v>
      </c>
      <c r="J10" s="26">
        <f ca="1">'Correlation Matrix'!J11*'Correlation Matrix'!$M$11*'Correlation Matrix'!M11</f>
        <v>6.8231283436120546E-2</v>
      </c>
    </row>
    <row r="11" spans="1:10" ht="25.5" customHeight="1" x14ac:dyDescent="0.25">
      <c r="C11" s="26"/>
      <c r="D11" s="26"/>
      <c r="E11" s="26"/>
      <c r="F11" s="26"/>
      <c r="G11" s="26"/>
      <c r="H11" s="26"/>
      <c r="I11" s="26"/>
      <c r="J11" s="26"/>
    </row>
    <row r="12" spans="1:10" ht="25.5" customHeight="1" x14ac:dyDescent="0.25">
      <c r="D12" s="57" t="s">
        <v>37</v>
      </c>
      <c r="E12" s="57"/>
      <c r="F12" s="57"/>
      <c r="G12" s="57"/>
      <c r="H12" s="57"/>
      <c r="I12" s="57"/>
    </row>
    <row r="13" spans="1:10" ht="25.5" customHeight="1" x14ac:dyDescent="0.25">
      <c r="C13" s="21" t="str">
        <f>C2</f>
        <v>SBUX</v>
      </c>
      <c r="D13" s="21" t="str">
        <f t="shared" ref="D13:J13" si="0">D2</f>
        <v>JPM</v>
      </c>
      <c r="E13" s="21" t="str">
        <f t="shared" si="0"/>
        <v>KO</v>
      </c>
      <c r="F13" s="21" t="str">
        <f t="shared" si="0"/>
        <v>GRMN</v>
      </c>
      <c r="G13" s="21" t="str">
        <f t="shared" si="0"/>
        <v>HD</v>
      </c>
      <c r="H13" s="21" t="str">
        <f t="shared" si="0"/>
        <v>LUV</v>
      </c>
      <c r="I13" s="21" t="str">
        <f t="shared" si="0"/>
        <v>LLY</v>
      </c>
      <c r="J13" s="21" t="str">
        <f t="shared" si="0"/>
        <v>XOM</v>
      </c>
    </row>
    <row r="14" spans="1:10" ht="25.5" customHeight="1" x14ac:dyDescent="0.25">
      <c r="B14" s="21" t="s">
        <v>38</v>
      </c>
      <c r="C14" s="37">
        <f>B15</f>
        <v>-0.19311205071444157</v>
      </c>
      <c r="D14" s="38">
        <f>B16</f>
        <v>-0.21130069109885891</v>
      </c>
      <c r="E14" s="38">
        <f>B17</f>
        <v>1.1929659732923152</v>
      </c>
      <c r="F14" s="38">
        <f>B18</f>
        <v>0.18281399793428091</v>
      </c>
      <c r="G14" s="38">
        <f>B19</f>
        <v>-0.2954461915884482</v>
      </c>
      <c r="H14" s="38">
        <f>B20</f>
        <v>-0.26168376600996757</v>
      </c>
      <c r="I14" s="38">
        <f>B21</f>
        <v>0.12180034158350253</v>
      </c>
      <c r="J14" s="38">
        <f>B22</f>
        <v>0.46396238660161798</v>
      </c>
    </row>
    <row r="15" spans="1:10" ht="25.5" customHeight="1" x14ac:dyDescent="0.25">
      <c r="A15" s="21" t="str">
        <f>B3</f>
        <v>SBUX</v>
      </c>
      <c r="B15" s="26">
        <v>-0.19311205071444157</v>
      </c>
      <c r="C15" s="39">
        <f ca="1">C3*$B$15*C14</f>
        <v>3.296426105718708E-3</v>
      </c>
      <c r="D15" s="26">
        <f t="shared" ref="D15:D22" ca="1" si="1">D3*B15*$D$14</f>
        <v>1.2187197778350579E-3</v>
      </c>
      <c r="E15" s="26">
        <f t="shared" ref="E15:E22" ca="1" si="2">E3*B15*$E$14</f>
        <v>-3.9831751265837238E-3</v>
      </c>
      <c r="F15" s="26">
        <f t="shared" ref="F15:F22" ca="1" si="3">F3*B15*$F$14</f>
        <v>-1.2181942994731513E-3</v>
      </c>
      <c r="G15" s="26">
        <f t="shared" ref="G15:G22" ca="1" si="4">G3*B15*$G$14</f>
        <v>1.8869489334257716E-3</v>
      </c>
      <c r="H15" s="26">
        <f t="shared" ref="H15:H22" ca="1" si="5">H3*B15*$H$14</f>
        <v>1.3245250191823636E-3</v>
      </c>
      <c r="I15" s="26">
        <f t="shared" ref="I15:I22" ca="1" si="6">I3*B15*$I$14</f>
        <v>-4.8804625317166414E-4</v>
      </c>
      <c r="J15" s="26">
        <f t="shared" ref="J15:J22" ca="1" si="7">J3*B15*$J$14</f>
        <v>-2.9641095721244097E-4</v>
      </c>
    </row>
    <row r="16" spans="1:10" ht="25.5" customHeight="1" x14ac:dyDescent="0.25">
      <c r="A16" s="21" t="str">
        <f t="shared" ref="A16:A22" si="8">B4</f>
        <v>JPM</v>
      </c>
      <c r="B16" s="26">
        <v>-0.21130069109885891</v>
      </c>
      <c r="C16" s="40">
        <f t="shared" ref="C16:C22" ca="1" si="9">C4*B16*$C$14</f>
        <v>1.2187197778350581E-3</v>
      </c>
      <c r="D16" s="26">
        <f t="shared" ca="1" si="1"/>
        <v>2.4034713335715739E-3</v>
      </c>
      <c r="E16" s="26">
        <f t="shared" ca="1" si="2"/>
        <v>-1.2768811012612506E-3</v>
      </c>
      <c r="F16" s="26">
        <f t="shared" ca="1" si="3"/>
        <v>-1.2023069330644551E-3</v>
      </c>
      <c r="G16" s="26">
        <f t="shared" ca="1" si="4"/>
        <v>1.6836003733474384E-3</v>
      </c>
      <c r="H16" s="26">
        <f t="shared" ca="1" si="5"/>
        <v>1.8755493557108649E-3</v>
      </c>
      <c r="I16" s="26">
        <f t="shared" ca="1" si="6"/>
        <v>-8.3153623140887992E-5</v>
      </c>
      <c r="J16" s="26">
        <f t="shared" ca="1" si="7"/>
        <v>-1.2306635903378898E-3</v>
      </c>
    </row>
    <row r="17" spans="1:10" ht="25.5" customHeight="1" x14ac:dyDescent="0.25">
      <c r="A17" s="21" t="str">
        <f t="shared" si="8"/>
        <v>KO</v>
      </c>
      <c r="B17" s="26">
        <v>1.1929659732923152</v>
      </c>
      <c r="C17" s="40">
        <f ca="1">C5*B17*$C$14</f>
        <v>-3.9831751265837229E-3</v>
      </c>
      <c r="D17" s="26">
        <f t="shared" ca="1" si="1"/>
        <v>-1.2768811012612504E-3</v>
      </c>
      <c r="E17" s="26">
        <f t="shared" ca="1" si="2"/>
        <v>3.9353315613506953E-2</v>
      </c>
      <c r="F17" s="26">
        <f t="shared" ca="1" si="3"/>
        <v>2.0313968843336666E-3</v>
      </c>
      <c r="G17" s="26">
        <f t="shared" ca="1" si="4"/>
        <v>-4.0710455182354022E-3</v>
      </c>
      <c r="H17" s="26">
        <f t="shared" ca="1" si="5"/>
        <v>-4.8820903420551589E-3</v>
      </c>
      <c r="I17" s="26">
        <f t="shared" ca="1" si="6"/>
        <v>2.7794399566651012E-3</v>
      </c>
      <c r="J17" s="26">
        <f t="shared" ca="1" si="7"/>
        <v>5.9736922906255506E-3</v>
      </c>
    </row>
    <row r="18" spans="1:10" ht="25.5" customHeight="1" x14ac:dyDescent="0.25">
      <c r="A18" s="21" t="str">
        <f t="shared" si="8"/>
        <v>GRMN</v>
      </c>
      <c r="B18" s="26">
        <v>0.18281399793428091</v>
      </c>
      <c r="C18" s="40">
        <f t="shared" ca="1" si="9"/>
        <v>-1.2181942994731513E-3</v>
      </c>
      <c r="D18" s="26">
        <f t="shared" ca="1" si="1"/>
        <v>-1.2023069330644553E-3</v>
      </c>
      <c r="E18" s="26">
        <f t="shared" ca="1" si="2"/>
        <v>2.0313968843336662E-3</v>
      </c>
      <c r="F18" s="26">
        <f t="shared" ca="1" si="3"/>
        <v>2.5465985049748529E-3</v>
      </c>
      <c r="G18" s="26">
        <f t="shared" ca="1" si="4"/>
        <v>-1.4199792211070205E-3</v>
      </c>
      <c r="H18" s="26">
        <f t="shared" ca="1" si="5"/>
        <v>-1.8901089530957047E-3</v>
      </c>
      <c r="I18" s="26">
        <f t="shared" ca="1" si="6"/>
        <v>1.3816525136297339E-4</v>
      </c>
      <c r="J18" s="26">
        <f t="shared" ca="1" si="7"/>
        <v>1.4606474721519436E-5</v>
      </c>
    </row>
    <row r="19" spans="1:10" ht="25.5" customHeight="1" x14ac:dyDescent="0.25">
      <c r="A19" s="21" t="str">
        <f t="shared" si="8"/>
        <v>HD</v>
      </c>
      <c r="B19" s="26">
        <v>-0.2954461915884482</v>
      </c>
      <c r="C19" s="40">
        <f t="shared" ca="1" si="9"/>
        <v>1.8869489334257716E-3</v>
      </c>
      <c r="D19" s="26">
        <f t="shared" ca="1" si="1"/>
        <v>1.6836003733474384E-3</v>
      </c>
      <c r="E19" s="26">
        <f t="shared" ca="1" si="2"/>
        <v>-4.0710455182354022E-3</v>
      </c>
      <c r="F19" s="26">
        <f t="shared" ca="1" si="3"/>
        <v>-1.4199792211070205E-3</v>
      </c>
      <c r="G19" s="26">
        <f t="shared" ca="1" si="4"/>
        <v>4.8708863707414961E-3</v>
      </c>
      <c r="H19" s="26">
        <f t="shared" ca="1" si="5"/>
        <v>2.8497596752166503E-3</v>
      </c>
      <c r="I19" s="26">
        <f t="shared" ca="1" si="6"/>
        <v>-2.7910935493991951E-4</v>
      </c>
      <c r="J19" s="26">
        <f t="shared" ca="1" si="7"/>
        <v>-9.9101525352652902E-4</v>
      </c>
    </row>
    <row r="20" spans="1:10" ht="25.5" customHeight="1" x14ac:dyDescent="0.25">
      <c r="A20" s="21" t="str">
        <f t="shared" si="8"/>
        <v>LUV</v>
      </c>
      <c r="B20" s="26">
        <v>-0.26168376600996757</v>
      </c>
      <c r="C20" s="40">
        <f t="shared" ca="1" si="9"/>
        <v>1.3245250191823636E-3</v>
      </c>
      <c r="D20" s="26">
        <f t="shared" ca="1" si="1"/>
        <v>1.8755493557108649E-3</v>
      </c>
      <c r="E20" s="26">
        <f t="shared" ca="1" si="2"/>
        <v>-4.882090342055158E-3</v>
      </c>
      <c r="F20" s="26">
        <f t="shared" ca="1" si="3"/>
        <v>-1.8901089530957047E-3</v>
      </c>
      <c r="G20" s="26">
        <f t="shared" ca="1" si="4"/>
        <v>2.8497596752166503E-3</v>
      </c>
      <c r="H20" s="26">
        <f t="shared" ca="1" si="5"/>
        <v>9.2656439332538688E-3</v>
      </c>
      <c r="I20" s="26">
        <f t="shared" ca="1" si="6"/>
        <v>-6.8215808057467303E-5</v>
      </c>
      <c r="J20" s="26">
        <f t="shared" ca="1" si="7"/>
        <v>-2.8890738400987621E-3</v>
      </c>
    </row>
    <row r="21" spans="1:10" ht="25.5" customHeight="1" x14ac:dyDescent="0.25">
      <c r="A21" s="21" t="str">
        <f t="shared" si="8"/>
        <v>LLY</v>
      </c>
      <c r="B21" s="26">
        <v>0.12180034158350253</v>
      </c>
      <c r="C21" s="40">
        <f t="shared" ca="1" si="9"/>
        <v>-4.880462531716642E-4</v>
      </c>
      <c r="D21" s="26">
        <f t="shared" ca="1" si="1"/>
        <v>-8.3153623140887992E-5</v>
      </c>
      <c r="E21" s="26">
        <f t="shared" ca="1" si="2"/>
        <v>2.7794399566651003E-3</v>
      </c>
      <c r="F21" s="26">
        <f t="shared" ca="1" si="3"/>
        <v>1.3816525136297342E-4</v>
      </c>
      <c r="G21" s="26">
        <f t="shared" ca="1" si="4"/>
        <v>-2.7910935493991946E-4</v>
      </c>
      <c r="H21" s="26">
        <f t="shared" ca="1" si="5"/>
        <v>-6.8215808057467303E-5</v>
      </c>
      <c r="I21" s="26">
        <f t="shared" ca="1" si="6"/>
        <v>1.4149993128299248E-3</v>
      </c>
      <c r="J21" s="26">
        <f t="shared" ca="1" si="7"/>
        <v>-1.9923109441177082E-4</v>
      </c>
    </row>
    <row r="22" spans="1:10" ht="25.5" customHeight="1" x14ac:dyDescent="0.25">
      <c r="A22" s="21" t="str">
        <f t="shared" si="8"/>
        <v>XOM</v>
      </c>
      <c r="B22" s="26">
        <v>0.46396238660161798</v>
      </c>
      <c r="C22" s="40">
        <f t="shared" ca="1" si="9"/>
        <v>-2.9641095721244097E-4</v>
      </c>
      <c r="D22" s="26">
        <f t="shared" ca="1" si="1"/>
        <v>-1.2306635903378898E-3</v>
      </c>
      <c r="E22" s="26">
        <f t="shared" ca="1" si="2"/>
        <v>5.9736922906255515E-3</v>
      </c>
      <c r="F22" s="26">
        <f t="shared" ca="1" si="3"/>
        <v>1.4606474721519436E-5</v>
      </c>
      <c r="G22" s="26">
        <f t="shared" ca="1" si="4"/>
        <v>-9.9101525352652924E-4</v>
      </c>
      <c r="H22" s="26">
        <f t="shared" ca="1" si="5"/>
        <v>-2.8890738400987621E-3</v>
      </c>
      <c r="I22" s="26">
        <f t="shared" ca="1" si="6"/>
        <v>-1.9923109441177084E-4</v>
      </c>
      <c r="J22" s="26">
        <f t="shared" ca="1" si="7"/>
        <v>1.4687540866300539E-2</v>
      </c>
    </row>
    <row r="23" spans="1:10" ht="25.5" customHeight="1" x14ac:dyDescent="0.25">
      <c r="A23" s="41" t="s">
        <v>39</v>
      </c>
      <c r="B23" s="26">
        <f>SUM(B15:B22)</f>
        <v>1.0000000000000004</v>
      </c>
      <c r="C23" s="26"/>
      <c r="D23" s="26"/>
      <c r="E23" s="26"/>
      <c r="F23" s="26"/>
      <c r="G23" s="26"/>
      <c r="H23" s="26"/>
      <c r="I23" s="26"/>
      <c r="J23" s="26"/>
    </row>
    <row r="25" spans="1:10" ht="25.5" customHeight="1" x14ac:dyDescent="0.25">
      <c r="A25" s="5" t="s">
        <v>40</v>
      </c>
      <c r="B25" s="26">
        <f ca="1">SUM(C15:J22)</f>
        <v>6.8454287486205453E-2</v>
      </c>
    </row>
    <row r="26" spans="1:10" ht="25.5" customHeight="1" x14ac:dyDescent="0.25">
      <c r="A26" s="5" t="s">
        <v>41</v>
      </c>
      <c r="B26" s="42">
        <f ca="1">SQRT(B25)</f>
        <v>0.2616377027230698</v>
      </c>
    </row>
    <row r="27" spans="1:10" ht="25.5" customHeight="1" x14ac:dyDescent="0.25">
      <c r="A27" s="5" t="s">
        <v>42</v>
      </c>
      <c r="B27" s="42">
        <f ca="1">SUMPRODUCT('Correlation Matrix'!N4:N11,B15:B22)</f>
        <v>1.6099537693988853E-2</v>
      </c>
    </row>
    <row r="29" spans="1:10" ht="25.5" customHeight="1" x14ac:dyDescent="0.25">
      <c r="A29" s="5" t="s">
        <v>43</v>
      </c>
      <c r="B29" s="43">
        <f ca="1">(B27-Returns!U1)/'Covar Matrix'!B26</f>
        <v>-5.3128666707198839E-2</v>
      </c>
    </row>
  </sheetData>
  <mergeCells count="2">
    <mergeCell ref="D1:I1"/>
    <mergeCell ref="D12:I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81A1-E221-4548-BC76-78D08A9C5CF2}">
  <dimension ref="A1:K16"/>
  <sheetViews>
    <sheetView workbookViewId="0">
      <selection activeCell="G8" sqref="G8"/>
    </sheetView>
  </sheetViews>
  <sheetFormatPr defaultRowHeight="27" customHeight="1" x14ac:dyDescent="0.25"/>
  <cols>
    <col min="1" max="1" width="5.4375" style="7" bestFit="1" customWidth="1"/>
    <col min="2" max="2" width="5.3125" style="7" bestFit="1" customWidth="1"/>
    <col min="3" max="10" width="4.5" style="7" bestFit="1" customWidth="1"/>
    <col min="11" max="11" width="3.9375" style="7" customWidth="1"/>
    <col min="12" max="12" width="6.9375" style="7" customWidth="1"/>
    <col min="13" max="13" width="7.4375" style="7" customWidth="1"/>
    <col min="14" max="16384" width="9" style="7"/>
  </cols>
  <sheetData>
    <row r="1" spans="1:11" ht="27" customHeight="1" x14ac:dyDescent="0.25">
      <c r="D1" s="57" t="s">
        <v>44</v>
      </c>
      <c r="E1" s="57"/>
      <c r="F1" s="57"/>
      <c r="G1" s="57"/>
      <c r="H1" s="57"/>
      <c r="I1" s="57"/>
    </row>
    <row r="2" spans="1:11" ht="27" customHeight="1" x14ac:dyDescent="0.25">
      <c r="A2" s="17" t="s">
        <v>45</v>
      </c>
      <c r="B2" s="17" t="s">
        <v>46</v>
      </c>
      <c r="C2" s="44" t="str">
        <f>'Covar Matrix'!C13</f>
        <v>SBUX</v>
      </c>
      <c r="D2" s="44" t="str">
        <f>'Covar Matrix'!D13</f>
        <v>JPM</v>
      </c>
      <c r="E2" s="44" t="str">
        <f>'Covar Matrix'!E13</f>
        <v>KO</v>
      </c>
      <c r="F2" s="44" t="str">
        <f>'Covar Matrix'!F13</f>
        <v>GRMN</v>
      </c>
      <c r="G2" s="44" t="str">
        <f>'Covar Matrix'!G13</f>
        <v>HD</v>
      </c>
      <c r="H2" s="44" t="str">
        <f>'Covar Matrix'!H13</f>
        <v>LUV</v>
      </c>
      <c r="I2" s="44" t="str">
        <f>'Covar Matrix'!I13</f>
        <v>LLY</v>
      </c>
      <c r="J2" s="44" t="str">
        <f>'Covar Matrix'!J13</f>
        <v>XOM</v>
      </c>
    </row>
    <row r="3" spans="1:11" ht="27" customHeight="1" x14ac:dyDescent="0.25">
      <c r="A3" s="45">
        <v>0.02</v>
      </c>
      <c r="B3" s="46"/>
      <c r="C3" s="26"/>
      <c r="D3" s="26"/>
      <c r="E3" s="26"/>
      <c r="F3" s="26"/>
      <c r="G3" s="26"/>
      <c r="H3" s="26"/>
      <c r="I3" s="26"/>
      <c r="J3" s="26"/>
      <c r="K3" s="26"/>
    </row>
    <row r="4" spans="1:11" ht="27" customHeight="1" x14ac:dyDescent="0.25">
      <c r="A4" s="45">
        <v>0.03</v>
      </c>
      <c r="B4" s="46"/>
      <c r="C4" s="26"/>
      <c r="D4" s="26"/>
      <c r="E4" s="26"/>
      <c r="F4" s="26"/>
      <c r="G4" s="26"/>
      <c r="H4" s="26"/>
      <c r="I4" s="26"/>
      <c r="J4" s="26"/>
      <c r="K4" s="26"/>
    </row>
    <row r="5" spans="1:11" ht="27" customHeight="1" x14ac:dyDescent="0.25">
      <c r="A5" s="45">
        <v>0.04</v>
      </c>
      <c r="B5" s="46"/>
      <c r="C5" s="26"/>
      <c r="D5" s="26"/>
      <c r="E5" s="26"/>
      <c r="F5" s="26"/>
      <c r="G5" s="26"/>
      <c r="H5" s="26"/>
      <c r="I5" s="26"/>
      <c r="J5" s="26"/>
      <c r="K5" s="26"/>
    </row>
    <row r="6" spans="1:11" ht="27" customHeight="1" x14ac:dyDescent="0.25">
      <c r="A6" s="45">
        <v>0.05</v>
      </c>
      <c r="B6" s="46"/>
      <c r="C6" s="26"/>
      <c r="D6" s="26"/>
      <c r="E6" s="26"/>
      <c r="F6" s="26"/>
      <c r="G6" s="26"/>
      <c r="H6" s="26"/>
      <c r="I6" s="26"/>
      <c r="J6" s="26"/>
      <c r="K6" s="26"/>
    </row>
    <row r="7" spans="1:11" ht="27" customHeight="1" x14ac:dyDescent="0.25">
      <c r="A7" s="45">
        <v>0.06</v>
      </c>
      <c r="B7" s="46"/>
      <c r="C7" s="26"/>
      <c r="D7" s="26"/>
      <c r="E7" s="26"/>
      <c r="F7" s="26"/>
      <c r="G7" s="26"/>
      <c r="H7" s="26"/>
      <c r="I7" s="26"/>
      <c r="J7" s="26"/>
      <c r="K7" s="26"/>
    </row>
    <row r="8" spans="1:11" ht="27" customHeight="1" x14ac:dyDescent="0.25">
      <c r="A8" s="45">
        <v>7.0000000000000007E-2</v>
      </c>
      <c r="B8" s="46"/>
      <c r="C8" s="26"/>
      <c r="D8" s="26"/>
      <c r="E8" s="26"/>
      <c r="F8" s="26"/>
      <c r="G8" s="26"/>
      <c r="H8" s="26"/>
      <c r="I8" s="26"/>
      <c r="J8" s="26"/>
      <c r="K8" s="26"/>
    </row>
    <row r="9" spans="1:11" ht="27" customHeight="1" x14ac:dyDescent="0.25">
      <c r="A9" s="45">
        <v>0.08</v>
      </c>
      <c r="B9" s="47"/>
      <c r="C9" s="26"/>
      <c r="D9" s="26"/>
      <c r="E9" s="26"/>
      <c r="F9" s="26"/>
      <c r="G9" s="26"/>
      <c r="H9" s="26"/>
      <c r="I9" s="26"/>
      <c r="J9" s="26"/>
      <c r="K9" s="26"/>
    </row>
    <row r="10" spans="1:11" ht="27" customHeight="1" x14ac:dyDescent="0.25">
      <c r="A10" s="45">
        <v>0.09</v>
      </c>
      <c r="B10" s="4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27" customHeight="1" x14ac:dyDescent="0.25">
      <c r="A11" s="45">
        <v>0.1</v>
      </c>
      <c r="B11" s="46"/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27" customHeight="1" x14ac:dyDescent="0.25">
      <c r="A12" s="45">
        <v>0.11</v>
      </c>
      <c r="B12" s="46"/>
      <c r="C12" s="51"/>
      <c r="D12" s="3"/>
      <c r="E12" s="3"/>
      <c r="F12" s="3"/>
      <c r="G12" s="3"/>
      <c r="H12" s="3"/>
      <c r="I12" s="3"/>
      <c r="J12" s="3"/>
      <c r="K12" s="26"/>
    </row>
    <row r="13" spans="1:11" ht="27" customHeight="1" x14ac:dyDescent="0.25">
      <c r="A13" s="45">
        <v>0.12</v>
      </c>
      <c r="B13" s="46"/>
      <c r="C13" s="26"/>
      <c r="D13" s="26"/>
      <c r="E13" s="26"/>
      <c r="F13" s="26"/>
      <c r="G13" s="26"/>
      <c r="H13" s="26"/>
      <c r="I13" s="26"/>
      <c r="J13" s="26"/>
      <c r="K13" s="26"/>
    </row>
    <row r="14" spans="1:11" ht="27" customHeight="1" x14ac:dyDescent="0.25">
      <c r="A14" s="45">
        <v>0.13</v>
      </c>
      <c r="B14" s="46"/>
      <c r="C14" s="26"/>
      <c r="D14" s="26"/>
      <c r="E14" s="26"/>
      <c r="F14" s="26"/>
      <c r="G14" s="26"/>
      <c r="H14" s="26"/>
      <c r="I14" s="26"/>
      <c r="J14" s="26"/>
      <c r="K14" s="26"/>
    </row>
    <row r="15" spans="1:11" ht="27" customHeight="1" x14ac:dyDescent="0.25">
      <c r="A15" s="48"/>
      <c r="B15" s="49"/>
      <c r="C15" s="26"/>
      <c r="D15" s="26"/>
      <c r="E15" s="26"/>
      <c r="F15" s="26"/>
      <c r="G15" s="26"/>
      <c r="H15" s="26"/>
      <c r="I15" s="26"/>
      <c r="J15" s="26"/>
      <c r="K15" s="41" t="s">
        <v>47</v>
      </c>
    </row>
    <row r="16" spans="1:11" ht="27" customHeight="1" x14ac:dyDescent="0.25">
      <c r="A16" s="50"/>
      <c r="B16" s="49"/>
      <c r="C16" s="26"/>
      <c r="D16" s="26"/>
      <c r="E16" s="26"/>
      <c r="F16" s="26"/>
      <c r="G16" s="26"/>
      <c r="H16" s="26"/>
      <c r="I16" s="26"/>
      <c r="J16" s="26"/>
      <c r="K16" s="41" t="s">
        <v>48</v>
      </c>
    </row>
  </sheetData>
  <mergeCells count="1">
    <mergeCell ref="D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Inputs</vt:lpstr>
      <vt:lpstr>Returns</vt:lpstr>
      <vt:lpstr>Correlation Matrix</vt:lpstr>
      <vt:lpstr>Covar Matrix</vt:lpstr>
      <vt:lpstr>Efficient Frontier</vt:lpstr>
      <vt:lpstr>_1</vt:lpstr>
      <vt:lpstr>_2</vt:lpstr>
      <vt:lpstr>_3</vt:lpstr>
      <vt:lpstr>_4</vt:lpstr>
      <vt:lpstr>_5</vt:lpstr>
      <vt:lpstr>_6</vt:lpstr>
      <vt:lpstr>_7</vt:lpstr>
      <vt:lpstr>_8</vt:lpstr>
      <vt:lpstr>endDate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Reese, William A</dc:creator>
  <cp:lastModifiedBy>Reese, William A</cp:lastModifiedBy>
  <dcterms:created xsi:type="dcterms:W3CDTF">2024-12-24T18:43:37Z</dcterms:created>
  <dcterms:modified xsi:type="dcterms:W3CDTF">2026-05-15T14:41:23Z</dcterms:modified>
</cp:coreProperties>
</file>