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reese\Desktop\Diversified, Eff Front, FF3-CAPM, Finding Beta\Current\"/>
    </mc:Choice>
  </mc:AlternateContent>
  <xr:revisionPtr revIDLastSave="0" documentId="8_{ABCDBBA5-F383-4E93-8403-69A409C10C7A}" xr6:coauthVersionLast="47" xr6:coauthVersionMax="47" xr10:uidLastSave="{00000000-0000-0000-0000-000000000000}"/>
  <bookViews>
    <workbookView xWindow="-120" yWindow="-120" windowWidth="29040" windowHeight="15720" xr2:uid="{12FB0930-30F1-44BF-9132-56BAC3821F54}"/>
  </bookViews>
  <sheets>
    <sheet name="Inputs" sheetId="1" r:id="rId1"/>
    <sheet name="Price Data" sheetId="2" r:id="rId2"/>
    <sheet name="Returns &amp; Stand Dev" sheetId="3" r:id="rId3"/>
    <sheet name="Corr. Matrix" sheetId="4" r:id="rId4"/>
    <sheet name="Var-Cov Matrix" sheetId="5" r:id="rId5"/>
    <sheet name="Graph" sheetId="6" r:id="rId6"/>
  </sheets>
  <definedNames>
    <definedName name="_1">'Returns &amp; Stand Dev'!$C$5:$C$64</definedName>
    <definedName name="_10">'Returns &amp; Stand Dev'!$U$5:$U$64</definedName>
    <definedName name="_11">'Returns &amp; Stand Dev'!$W$5:$W$64</definedName>
    <definedName name="_12">'Returns &amp; Stand Dev'!$Y$5:$Y$64</definedName>
    <definedName name="_13">'Returns &amp; Stand Dev'!$AA$5:$AA$64</definedName>
    <definedName name="_14">'Returns &amp; Stand Dev'!$AC$5:$AC$64</definedName>
    <definedName name="_15">'Returns &amp; Stand Dev'!$AE$5:$AE$64</definedName>
    <definedName name="_16">'Returns &amp; Stand Dev'!$AG$5:$AG$64</definedName>
    <definedName name="_17">'Returns &amp; Stand Dev'!$AI$5:$AI$64</definedName>
    <definedName name="_18">'Returns &amp; Stand Dev'!$AK$5:$AK$64</definedName>
    <definedName name="_19">'Returns &amp; Stand Dev'!$AM$5:$AM$64</definedName>
    <definedName name="_2">'Returns &amp; Stand Dev'!$E$5:$E$64</definedName>
    <definedName name="_20">'Returns &amp; Stand Dev'!$AO$5:$AO$64</definedName>
    <definedName name="_21">'Returns &amp; Stand Dev'!$AQ$5:$AQ$64</definedName>
    <definedName name="_22">'Returns &amp; Stand Dev'!$AS$5:$AS$64</definedName>
    <definedName name="_23">'Returns &amp; Stand Dev'!$AU$5:$AU$64</definedName>
    <definedName name="_24">'Returns &amp; Stand Dev'!$AW$5:$AW$64</definedName>
    <definedName name="_25">'Returns &amp; Stand Dev'!$AY$5:$AY$64</definedName>
    <definedName name="_26">'Returns &amp; Stand Dev'!$BA$5:$BA$64</definedName>
    <definedName name="_27">'Returns &amp; Stand Dev'!$BC$5:$BC$64</definedName>
    <definedName name="_28">'Returns &amp; Stand Dev'!$BE$5:$BE$64</definedName>
    <definedName name="_29">'Returns &amp; Stand Dev'!$BG$5:$BG$64</definedName>
    <definedName name="_3">'Returns &amp; Stand Dev'!$G$5:$G$64</definedName>
    <definedName name="_30">'Returns &amp; Stand Dev'!$BI$5:$BI$64</definedName>
    <definedName name="_4">'Returns &amp; Stand Dev'!$I$5:$I$64</definedName>
    <definedName name="_5">'Returns &amp; Stand Dev'!$K$5:$K$64</definedName>
    <definedName name="_6">'Returns &amp; Stand Dev'!$M$5:$M$64</definedName>
    <definedName name="_7">'Returns &amp; Stand Dev'!$O$5:$O$64</definedName>
    <definedName name="_8">'Returns &amp; Stand Dev'!$Q$5:$Q$64</definedName>
    <definedName name="_9">'Returns &amp; Stand Dev'!$S$5:$S$64</definedName>
    <definedName name="endDate">Inputs!$B$6</definedName>
    <definedName name="ExternalData_1513" localSheetId="1">'Price Data'!$A$1:$A$62</definedName>
    <definedName name="startDate">Inputs!$B$5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" i="2" l="1"/>
  <c r="AE1" i="2"/>
  <c r="AD1" i="2"/>
  <c r="AC1" i="2"/>
  <c r="AB1" i="2"/>
  <c r="AA1" i="2"/>
  <c r="Y1" i="2"/>
  <c r="X1" i="2"/>
  <c r="W1" i="2"/>
  <c r="V1" i="2"/>
  <c r="U1" i="2"/>
  <c r="T1" i="2"/>
  <c r="S1" i="2"/>
  <c r="R1" i="2"/>
  <c r="Q1" i="2"/>
  <c r="P1" i="2"/>
  <c r="O1" i="2"/>
  <c r="N1" i="2"/>
  <c r="M1" i="2"/>
  <c r="L1" i="2"/>
  <c r="K1" i="2"/>
  <c r="J1" i="2"/>
  <c r="I1" i="2"/>
  <c r="H1" i="2"/>
  <c r="G1" i="2"/>
  <c r="F1" i="2"/>
  <c r="E1" i="2"/>
  <c r="D1" i="2"/>
  <c r="C1" i="2"/>
  <c r="B1" i="2"/>
  <c r="B2" i="3" s="1"/>
  <c r="C5" i="4" s="1"/>
  <c r="B6" i="4" s="1"/>
  <c r="A5" i="5" s="1"/>
  <c r="B67" i="5"/>
  <c r="C67" i="5" s="1"/>
  <c r="B66" i="5"/>
  <c r="C66" i="5" s="1"/>
  <c r="C65" i="5"/>
  <c r="B65" i="5"/>
  <c r="B64" i="5"/>
  <c r="C64" i="5" s="1"/>
  <c r="C63" i="5"/>
  <c r="B63" i="5"/>
  <c r="B62" i="5"/>
  <c r="C62" i="5" s="1"/>
  <c r="C61" i="5"/>
  <c r="B61" i="5"/>
  <c r="B60" i="5"/>
  <c r="C60" i="5" s="1"/>
  <c r="B59" i="5"/>
  <c r="C59" i="5" s="1"/>
  <c r="B58" i="5"/>
  <c r="C58" i="5" s="1"/>
  <c r="C57" i="5"/>
  <c r="B57" i="5"/>
  <c r="B56" i="5"/>
  <c r="C56" i="5" s="1"/>
  <c r="C55" i="5"/>
  <c r="B55" i="5"/>
  <c r="B54" i="5"/>
  <c r="C54" i="5" s="1"/>
  <c r="C53" i="5"/>
  <c r="B53" i="5"/>
  <c r="B52" i="5"/>
  <c r="C52" i="5" s="1"/>
  <c r="B51" i="5"/>
  <c r="C51" i="5" s="1"/>
  <c r="B50" i="5"/>
  <c r="C50" i="5" s="1"/>
  <c r="C49" i="5"/>
  <c r="B49" i="5"/>
  <c r="B48" i="5"/>
  <c r="C48" i="5" s="1"/>
  <c r="C47" i="5"/>
  <c r="B47" i="5"/>
  <c r="B46" i="5"/>
  <c r="C46" i="5" s="1"/>
  <c r="C45" i="5"/>
  <c r="B45" i="5"/>
  <c r="B44" i="5"/>
  <c r="C44" i="5" s="1"/>
  <c r="B43" i="5"/>
  <c r="C43" i="5" s="1"/>
  <c r="B42" i="5"/>
  <c r="C42" i="5" s="1"/>
  <c r="C41" i="5"/>
  <c r="B41" i="5"/>
  <c r="B40" i="5"/>
  <c r="C40" i="5" s="1"/>
  <c r="C39" i="5"/>
  <c r="B39" i="5"/>
  <c r="B38" i="5"/>
  <c r="C38" i="5" s="1"/>
  <c r="BJ2" i="3"/>
  <c r="B4" i="1"/>
  <c r="B6" i="1" s="1"/>
  <c r="O3" i="6" l="1"/>
  <c r="AB2" i="3"/>
  <c r="P5" i="4" s="1"/>
  <c r="B19" i="4" s="1"/>
  <c r="A18" i="5" s="1"/>
  <c r="O16" i="6" s="1"/>
  <c r="P2" i="3"/>
  <c r="J5" i="4" s="1"/>
  <c r="B13" i="4" s="1"/>
  <c r="A12" i="5" s="1"/>
  <c r="O10" i="6" s="1"/>
  <c r="R2" i="3"/>
  <c r="K5" i="4" s="1"/>
  <c r="B14" i="4" s="1"/>
  <c r="A13" i="5" s="1"/>
  <c r="O11" i="6" s="1"/>
  <c r="L2" i="3"/>
  <c r="H5" i="4" s="1"/>
  <c r="B11" i="4" s="1"/>
  <c r="A10" i="5" s="1"/>
  <c r="O8" i="6" s="1"/>
  <c r="BH2" i="3"/>
  <c r="AF5" i="4" s="1"/>
  <c r="B35" i="4" s="1"/>
  <c r="A34" i="5" s="1"/>
  <c r="O32" i="6" s="1"/>
  <c r="AF2" i="3"/>
  <c r="R5" i="4" s="1"/>
  <c r="B21" i="4" s="1"/>
  <c r="A20" i="5" s="1"/>
  <c r="O18" i="6" s="1"/>
  <c r="AX2" i="3"/>
  <c r="AA5" i="4" s="1"/>
  <c r="B30" i="4" s="1"/>
  <c r="A29" i="5" s="1"/>
  <c r="O27" i="6" s="1"/>
  <c r="D2" i="3"/>
  <c r="D5" i="4" s="1"/>
  <c r="B7" i="4" s="1"/>
  <c r="A6" i="5" s="1"/>
  <c r="O4" i="6" s="1"/>
  <c r="AZ2" i="3"/>
  <c r="AB5" i="4" s="1"/>
  <c r="B31" i="4" s="1"/>
  <c r="A30" i="5" s="1"/>
  <c r="O28" i="6" s="1"/>
  <c r="F2" i="3"/>
  <c r="E5" i="4" s="1"/>
  <c r="B8" i="4" s="1"/>
  <c r="A7" i="5" s="1"/>
  <c r="O5" i="6" s="1"/>
  <c r="V2" i="3"/>
  <c r="M5" i="4" s="1"/>
  <c r="B16" i="4" s="1"/>
  <c r="A15" i="5" s="1"/>
  <c r="O13" i="6" s="1"/>
  <c r="AL2" i="3"/>
  <c r="U5" i="4" s="1"/>
  <c r="B24" i="4" s="1"/>
  <c r="A23" i="5" s="1"/>
  <c r="O21" i="6" s="1"/>
  <c r="BB2" i="3"/>
  <c r="AC5" i="4" s="1"/>
  <c r="B32" i="4" s="1"/>
  <c r="A31" i="5" s="1"/>
  <c r="O29" i="6" s="1"/>
  <c r="AR2" i="3"/>
  <c r="X5" i="4" s="1"/>
  <c r="B27" i="4" s="1"/>
  <c r="A26" i="5" s="1"/>
  <c r="O24" i="6" s="1"/>
  <c r="AV2" i="3"/>
  <c r="Z5" i="4" s="1"/>
  <c r="B29" i="4" s="1"/>
  <c r="A28" i="5" s="1"/>
  <c r="O26" i="6" s="1"/>
  <c r="AH2" i="3"/>
  <c r="S5" i="4" s="1"/>
  <c r="B22" i="4" s="1"/>
  <c r="A21" i="5" s="1"/>
  <c r="O19" i="6" s="1"/>
  <c r="AJ2" i="3"/>
  <c r="T5" i="4" s="1"/>
  <c r="B23" i="4" s="1"/>
  <c r="A22" i="5" s="1"/>
  <c r="O20" i="6" s="1"/>
  <c r="H2" i="3"/>
  <c r="F5" i="4" s="1"/>
  <c r="B9" i="4" s="1"/>
  <c r="A8" i="5" s="1"/>
  <c r="O6" i="6" s="1"/>
  <c r="X2" i="3"/>
  <c r="N5" i="4" s="1"/>
  <c r="B17" i="4" s="1"/>
  <c r="A16" i="5" s="1"/>
  <c r="O14" i="6" s="1"/>
  <c r="AN2" i="3"/>
  <c r="V5" i="4" s="1"/>
  <c r="B25" i="4" s="1"/>
  <c r="A24" i="5" s="1"/>
  <c r="O22" i="6" s="1"/>
  <c r="BD2" i="3"/>
  <c r="AD5" i="4" s="1"/>
  <c r="B33" i="4" s="1"/>
  <c r="A32" i="5" s="1"/>
  <c r="O30" i="6" s="1"/>
  <c r="T2" i="3"/>
  <c r="L5" i="4" s="1"/>
  <c r="B15" i="4" s="1"/>
  <c r="A14" i="5" s="1"/>
  <c r="O12" i="6" s="1"/>
  <c r="J2" i="3"/>
  <c r="G5" i="4" s="1"/>
  <c r="B10" i="4" s="1"/>
  <c r="A9" i="5" s="1"/>
  <c r="O7" i="6" s="1"/>
  <c r="Z2" i="3"/>
  <c r="O5" i="4" s="1"/>
  <c r="B18" i="4" s="1"/>
  <c r="A17" i="5" s="1"/>
  <c r="O15" i="6" s="1"/>
  <c r="AP2" i="3"/>
  <c r="W5" i="4" s="1"/>
  <c r="B26" i="4" s="1"/>
  <c r="A25" i="5" s="1"/>
  <c r="O23" i="6" s="1"/>
  <c r="BF2" i="3"/>
  <c r="AE5" i="4" s="1"/>
  <c r="B34" i="4" s="1"/>
  <c r="A33" i="5" s="1"/>
  <c r="O31" i="6" s="1"/>
  <c r="N2" i="3"/>
  <c r="I5" i="4" s="1"/>
  <c r="B12" i="4" s="1"/>
  <c r="A11" i="5" s="1"/>
  <c r="O9" i="6" s="1"/>
  <c r="AD2" i="3"/>
  <c r="Q5" i="4" s="1"/>
  <c r="B20" i="4" s="1"/>
  <c r="A19" i="5" s="1"/>
  <c r="O17" i="6" s="1"/>
  <c r="AT2" i="3"/>
  <c r="Y5" i="4" s="1"/>
  <c r="B28" i="4" s="1"/>
  <c r="A27" i="5" s="1"/>
  <c r="O25" i="6" s="1"/>
  <c r="B5" i="1"/>
  <c r="B4" i="5" l="1" a="1"/>
  <c r="B4" i="5" s="1"/>
  <c r="D65" i="2"/>
  <c r="A4" i="3" s="1"/>
  <c r="A2" i="2" l="1"/>
  <c r="A3" i="2" s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D66" i="2"/>
  <c r="D2" i="2" a="1"/>
  <c r="F7" i="3" l="1"/>
  <c r="F15" i="3"/>
  <c r="F23" i="3"/>
  <c r="F31" i="3"/>
  <c r="F39" i="3"/>
  <c r="F47" i="3"/>
  <c r="F55" i="3"/>
  <c r="F63" i="3"/>
  <c r="F17" i="3"/>
  <c r="F25" i="3"/>
  <c r="F41" i="3"/>
  <c r="F57" i="3"/>
  <c r="F54" i="3"/>
  <c r="F8" i="3"/>
  <c r="F16" i="3"/>
  <c r="F24" i="3"/>
  <c r="F32" i="3"/>
  <c r="F40" i="3"/>
  <c r="F48" i="3"/>
  <c r="F56" i="3"/>
  <c r="F64" i="3"/>
  <c r="F9" i="3"/>
  <c r="F33" i="3"/>
  <c r="F49" i="3"/>
  <c r="F10" i="3"/>
  <c r="F18" i="3"/>
  <c r="F26" i="3"/>
  <c r="F34" i="3"/>
  <c r="F42" i="3"/>
  <c r="F50" i="3"/>
  <c r="F58" i="3"/>
  <c r="F21" i="3"/>
  <c r="F45" i="3"/>
  <c r="F6" i="3"/>
  <c r="F30" i="3"/>
  <c r="F62" i="3"/>
  <c r="F11" i="3"/>
  <c r="F19" i="3"/>
  <c r="F27" i="3"/>
  <c r="F35" i="3"/>
  <c r="F43" i="3"/>
  <c r="F51" i="3"/>
  <c r="F59" i="3"/>
  <c r="F29" i="3"/>
  <c r="F53" i="3"/>
  <c r="F14" i="3"/>
  <c r="F38" i="3"/>
  <c r="F12" i="3"/>
  <c r="F20" i="3"/>
  <c r="F28" i="3"/>
  <c r="F36" i="3"/>
  <c r="F44" i="3"/>
  <c r="F52" i="3"/>
  <c r="F60" i="3"/>
  <c r="F13" i="3"/>
  <c r="F37" i="3"/>
  <c r="F61" i="3"/>
  <c r="F22" i="3"/>
  <c r="F46" i="3"/>
  <c r="F5" i="3"/>
  <c r="D2" i="2"/>
  <c r="F4" i="3" s="1"/>
  <c r="O2" i="2" a="1"/>
  <c r="P2" i="2" a="1"/>
  <c r="Z2" i="2" a="1"/>
  <c r="S2" i="2" a="1"/>
  <c r="AD2" i="2" a="1"/>
  <c r="M2" i="2" a="1"/>
  <c r="T2" i="2" a="1"/>
  <c r="AE2" i="2" a="1"/>
  <c r="U2" i="2" a="1"/>
  <c r="Y2" i="2" a="1"/>
  <c r="AB2" i="2" a="1"/>
  <c r="F2" i="2" a="1"/>
  <c r="H2" i="2" a="1"/>
  <c r="E2" i="2" a="1"/>
  <c r="I2" i="2" a="1"/>
  <c r="AC2" i="2" a="1"/>
  <c r="AA2" i="2" a="1"/>
  <c r="W2" i="2" a="1"/>
  <c r="L2" i="2" a="1"/>
  <c r="V2" i="2" a="1"/>
  <c r="N2" i="2" a="1"/>
  <c r="C2" i="2" a="1"/>
  <c r="G2" i="2" a="1"/>
  <c r="Q2" i="2" a="1"/>
  <c r="X2" i="2" a="1"/>
  <c r="R2" i="2" a="1"/>
  <c r="B2" i="2" a="1"/>
  <c r="AF2" i="2" a="1"/>
  <c r="J2" i="2" a="1"/>
  <c r="K2" i="2" a="1"/>
  <c r="BJ6" i="3" l="1"/>
  <c r="BJ14" i="3"/>
  <c r="BJ22" i="3"/>
  <c r="BJ30" i="3"/>
  <c r="BJ38" i="3"/>
  <c r="BJ46" i="3"/>
  <c r="BJ54" i="3"/>
  <c r="BJ62" i="3"/>
  <c r="BJ25" i="3"/>
  <c r="BJ41" i="3"/>
  <c r="BJ29" i="3"/>
  <c r="BJ61" i="3"/>
  <c r="BJ7" i="3"/>
  <c r="BJ15" i="3"/>
  <c r="BJ23" i="3"/>
  <c r="BJ31" i="3"/>
  <c r="BJ39" i="3"/>
  <c r="BJ47" i="3"/>
  <c r="BJ55" i="3"/>
  <c r="BJ63" i="3"/>
  <c r="BJ9" i="3"/>
  <c r="BJ33" i="3"/>
  <c r="BJ57" i="3"/>
  <c r="BJ5" i="3"/>
  <c r="BJ53" i="3"/>
  <c r="BJ8" i="3"/>
  <c r="BJ16" i="3"/>
  <c r="BJ24" i="3"/>
  <c r="BJ32" i="3"/>
  <c r="BJ40" i="3"/>
  <c r="BJ48" i="3"/>
  <c r="BJ56" i="3"/>
  <c r="BJ64" i="3"/>
  <c r="BJ17" i="3"/>
  <c r="BJ49" i="3"/>
  <c r="BJ10" i="3"/>
  <c r="BJ18" i="3"/>
  <c r="BJ26" i="3"/>
  <c r="BJ34" i="3"/>
  <c r="BJ42" i="3"/>
  <c r="BJ50" i="3"/>
  <c r="BJ58" i="3"/>
  <c r="BJ20" i="3"/>
  <c r="BJ36" i="3"/>
  <c r="BJ52" i="3"/>
  <c r="BJ21" i="3"/>
  <c r="BJ37" i="3"/>
  <c r="BJ11" i="3"/>
  <c r="BJ19" i="3"/>
  <c r="BJ27" i="3"/>
  <c r="BJ35" i="3"/>
  <c r="BJ43" i="3"/>
  <c r="BJ51" i="3"/>
  <c r="BJ59" i="3"/>
  <c r="BJ12" i="3"/>
  <c r="BJ28" i="3"/>
  <c r="BJ44" i="3"/>
  <c r="BJ60" i="3"/>
  <c r="BJ13" i="3"/>
  <c r="BJ45" i="3"/>
  <c r="BH6" i="3"/>
  <c r="BH14" i="3"/>
  <c r="BH22" i="3"/>
  <c r="BH30" i="3"/>
  <c r="BH38" i="3"/>
  <c r="BH46" i="3"/>
  <c r="BH54" i="3"/>
  <c r="BH62" i="3"/>
  <c r="BH7" i="3"/>
  <c r="BH15" i="3"/>
  <c r="BH23" i="3"/>
  <c r="BH31" i="3"/>
  <c r="BH39" i="3"/>
  <c r="BH47" i="3"/>
  <c r="BH55" i="3"/>
  <c r="BH63" i="3"/>
  <c r="BH8" i="3"/>
  <c r="BH16" i="3"/>
  <c r="BH24" i="3"/>
  <c r="BH32" i="3"/>
  <c r="BH40" i="3"/>
  <c r="BH48" i="3"/>
  <c r="BH56" i="3"/>
  <c r="BH64" i="3"/>
  <c r="BH28" i="3"/>
  <c r="BH44" i="3"/>
  <c r="BH13" i="3"/>
  <c r="BH45" i="3"/>
  <c r="BH9" i="3"/>
  <c r="BH17" i="3"/>
  <c r="BH25" i="3"/>
  <c r="BH33" i="3"/>
  <c r="BH41" i="3"/>
  <c r="BH49" i="3"/>
  <c r="BH57" i="3"/>
  <c r="BH10" i="3"/>
  <c r="BH18" i="3"/>
  <c r="BH26" i="3"/>
  <c r="BH34" i="3"/>
  <c r="BH42" i="3"/>
  <c r="BH50" i="3"/>
  <c r="BH58" i="3"/>
  <c r="BH20" i="3"/>
  <c r="BH36" i="3"/>
  <c r="BH60" i="3"/>
  <c r="BH29" i="3"/>
  <c r="BH37" i="3"/>
  <c r="BH61" i="3"/>
  <c r="BH11" i="3"/>
  <c r="BH19" i="3"/>
  <c r="BH27" i="3"/>
  <c r="BH35" i="3"/>
  <c r="BH43" i="3"/>
  <c r="BH51" i="3"/>
  <c r="BH59" i="3"/>
  <c r="BH12" i="3"/>
  <c r="BH52" i="3"/>
  <c r="BH21" i="3"/>
  <c r="BH53" i="3"/>
  <c r="BH5" i="3"/>
  <c r="BF7" i="3"/>
  <c r="BF15" i="3"/>
  <c r="BF23" i="3"/>
  <c r="BF31" i="3"/>
  <c r="BF39" i="3"/>
  <c r="BF47" i="3"/>
  <c r="BF55" i="3"/>
  <c r="BF63" i="3"/>
  <c r="BF8" i="3"/>
  <c r="BF16" i="3"/>
  <c r="BF24" i="3"/>
  <c r="BF32" i="3"/>
  <c r="BF40" i="3"/>
  <c r="BF48" i="3"/>
  <c r="BF56" i="3"/>
  <c r="BF64" i="3"/>
  <c r="BF18" i="3"/>
  <c r="BF26" i="3"/>
  <c r="BF34" i="3"/>
  <c r="BF42" i="3"/>
  <c r="BF50" i="3"/>
  <c r="BF58" i="3"/>
  <c r="BF22" i="3"/>
  <c r="BF46" i="3"/>
  <c r="BF62" i="3"/>
  <c r="BF9" i="3"/>
  <c r="BF17" i="3"/>
  <c r="BF25" i="3"/>
  <c r="BF33" i="3"/>
  <c r="BF41" i="3"/>
  <c r="BF49" i="3"/>
  <c r="BF57" i="3"/>
  <c r="BF10" i="3"/>
  <c r="BF11" i="3"/>
  <c r="BF19" i="3"/>
  <c r="BF27" i="3"/>
  <c r="BF35" i="3"/>
  <c r="BF43" i="3"/>
  <c r="BF51" i="3"/>
  <c r="BF59" i="3"/>
  <c r="BF12" i="3"/>
  <c r="BF20" i="3"/>
  <c r="BF28" i="3"/>
  <c r="BF36" i="3"/>
  <c r="BF44" i="3"/>
  <c r="BF52" i="3"/>
  <c r="BF60" i="3"/>
  <c r="BF13" i="3"/>
  <c r="BF21" i="3"/>
  <c r="BF29" i="3"/>
  <c r="BF37" i="3"/>
  <c r="BF45" i="3"/>
  <c r="BF53" i="3"/>
  <c r="BF61" i="3"/>
  <c r="BF6" i="3"/>
  <c r="BF14" i="3"/>
  <c r="BF30" i="3"/>
  <c r="BF38" i="3"/>
  <c r="BF54" i="3"/>
  <c r="BF5" i="3"/>
  <c r="BD6" i="3"/>
  <c r="BD14" i="3"/>
  <c r="BD22" i="3"/>
  <c r="BD30" i="3"/>
  <c r="BD38" i="3"/>
  <c r="BD46" i="3"/>
  <c r="BD54" i="3"/>
  <c r="BD62" i="3"/>
  <c r="BD35" i="3"/>
  <c r="BD37" i="3"/>
  <c r="BD7" i="3"/>
  <c r="BD15" i="3"/>
  <c r="BD23" i="3"/>
  <c r="BD31" i="3"/>
  <c r="BD39" i="3"/>
  <c r="BD47" i="3"/>
  <c r="BD55" i="3"/>
  <c r="BD63" i="3"/>
  <c r="BD27" i="3"/>
  <c r="BD51" i="3"/>
  <c r="BD45" i="3"/>
  <c r="BD8" i="3"/>
  <c r="BD16" i="3"/>
  <c r="BD24" i="3"/>
  <c r="BD32" i="3"/>
  <c r="BD40" i="3"/>
  <c r="BD48" i="3"/>
  <c r="BD56" i="3"/>
  <c r="BD64" i="3"/>
  <c r="BD19" i="3"/>
  <c r="BD43" i="3"/>
  <c r="BD53" i="3"/>
  <c r="BD9" i="3"/>
  <c r="BD17" i="3"/>
  <c r="BD25" i="3"/>
  <c r="BD33" i="3"/>
  <c r="BD41" i="3"/>
  <c r="BD49" i="3"/>
  <c r="BD57" i="3"/>
  <c r="BD10" i="3"/>
  <c r="BD18" i="3"/>
  <c r="BD26" i="3"/>
  <c r="BD34" i="3"/>
  <c r="BD42" i="3"/>
  <c r="BD50" i="3"/>
  <c r="BD58" i="3"/>
  <c r="BD11" i="3"/>
  <c r="BD59" i="3"/>
  <c r="BD12" i="3"/>
  <c r="BD20" i="3"/>
  <c r="BD28" i="3"/>
  <c r="BD36" i="3"/>
  <c r="BD44" i="3"/>
  <c r="BD52" i="3"/>
  <c r="BD60" i="3"/>
  <c r="BD13" i="3"/>
  <c r="BD21" i="3"/>
  <c r="BD29" i="3"/>
  <c r="BD61" i="3"/>
  <c r="BD5" i="3"/>
  <c r="BB7" i="3"/>
  <c r="BB15" i="3"/>
  <c r="BB23" i="3"/>
  <c r="BB31" i="3"/>
  <c r="BB39" i="3"/>
  <c r="BB47" i="3"/>
  <c r="BB55" i="3"/>
  <c r="BB63" i="3"/>
  <c r="BB16" i="3"/>
  <c r="BB24" i="3"/>
  <c r="BB32" i="3"/>
  <c r="BB40" i="3"/>
  <c r="BB48" i="3"/>
  <c r="BB56" i="3"/>
  <c r="BB64" i="3"/>
  <c r="BB10" i="3"/>
  <c r="BB18" i="3"/>
  <c r="BB26" i="3"/>
  <c r="BB42" i="3"/>
  <c r="BB50" i="3"/>
  <c r="BB14" i="3"/>
  <c r="BB30" i="3"/>
  <c r="BB54" i="3"/>
  <c r="BB8" i="3"/>
  <c r="BB34" i="3"/>
  <c r="BB58" i="3"/>
  <c r="BB6" i="3"/>
  <c r="BB38" i="3"/>
  <c r="BB9" i="3"/>
  <c r="BB17" i="3"/>
  <c r="BB25" i="3"/>
  <c r="BB33" i="3"/>
  <c r="BB41" i="3"/>
  <c r="BB49" i="3"/>
  <c r="BB57" i="3"/>
  <c r="BB11" i="3"/>
  <c r="BB19" i="3"/>
  <c r="BB27" i="3"/>
  <c r="BB35" i="3"/>
  <c r="BB43" i="3"/>
  <c r="BB51" i="3"/>
  <c r="BB59" i="3"/>
  <c r="BB12" i="3"/>
  <c r="BB20" i="3"/>
  <c r="BB28" i="3"/>
  <c r="BB36" i="3"/>
  <c r="BB44" i="3"/>
  <c r="BB52" i="3"/>
  <c r="BB60" i="3"/>
  <c r="BB13" i="3"/>
  <c r="BB21" i="3"/>
  <c r="BB29" i="3"/>
  <c r="BB37" i="3"/>
  <c r="BB45" i="3"/>
  <c r="BB53" i="3"/>
  <c r="BB61" i="3"/>
  <c r="BB22" i="3"/>
  <c r="BB46" i="3"/>
  <c r="BB62" i="3"/>
  <c r="BB5" i="3"/>
  <c r="AZ7" i="3"/>
  <c r="AZ9" i="3"/>
  <c r="AZ17" i="3"/>
  <c r="AZ25" i="3"/>
  <c r="AZ33" i="3"/>
  <c r="AZ41" i="3"/>
  <c r="AZ49" i="3"/>
  <c r="AZ57" i="3"/>
  <c r="AZ10" i="3"/>
  <c r="AZ18" i="3"/>
  <c r="AZ26" i="3"/>
  <c r="AZ34" i="3"/>
  <c r="AZ42" i="3"/>
  <c r="AZ50" i="3"/>
  <c r="AZ58" i="3"/>
  <c r="AZ20" i="3"/>
  <c r="AZ28" i="3"/>
  <c r="AZ44" i="3"/>
  <c r="AZ60" i="3"/>
  <c r="AZ21" i="3"/>
  <c r="AZ37" i="3"/>
  <c r="AZ53" i="3"/>
  <c r="AZ14" i="3"/>
  <c r="AZ22" i="3"/>
  <c r="AZ30" i="3"/>
  <c r="AZ46" i="3"/>
  <c r="AZ62" i="3"/>
  <c r="AZ23" i="3"/>
  <c r="AZ31" i="3"/>
  <c r="AZ47" i="3"/>
  <c r="AZ63" i="3"/>
  <c r="AZ16" i="3"/>
  <c r="AZ24" i="3"/>
  <c r="AZ40" i="3"/>
  <c r="AZ56" i="3"/>
  <c r="AZ11" i="3"/>
  <c r="AZ19" i="3"/>
  <c r="AZ27" i="3"/>
  <c r="AZ35" i="3"/>
  <c r="AZ43" i="3"/>
  <c r="AZ51" i="3"/>
  <c r="AZ59" i="3"/>
  <c r="AZ12" i="3"/>
  <c r="AZ36" i="3"/>
  <c r="AZ52" i="3"/>
  <c r="AZ13" i="3"/>
  <c r="AZ29" i="3"/>
  <c r="AZ45" i="3"/>
  <c r="AZ61" i="3"/>
  <c r="AZ6" i="3"/>
  <c r="AZ38" i="3"/>
  <c r="AZ54" i="3"/>
  <c r="AZ15" i="3"/>
  <c r="AZ39" i="3"/>
  <c r="AZ55" i="3"/>
  <c r="AZ8" i="3"/>
  <c r="AZ32" i="3"/>
  <c r="AZ48" i="3"/>
  <c r="AZ64" i="3"/>
  <c r="AZ5" i="3"/>
  <c r="AX6" i="3"/>
  <c r="AX14" i="3"/>
  <c r="AX22" i="3"/>
  <c r="AX30" i="3"/>
  <c r="AX38" i="3"/>
  <c r="AX46" i="3"/>
  <c r="AX54" i="3"/>
  <c r="AX62" i="3"/>
  <c r="AX36" i="3"/>
  <c r="AX13" i="3"/>
  <c r="AX61" i="3"/>
  <c r="AX7" i="3"/>
  <c r="AX15" i="3"/>
  <c r="AX23" i="3"/>
  <c r="AX31" i="3"/>
  <c r="AX39" i="3"/>
  <c r="AX47" i="3"/>
  <c r="AX55" i="3"/>
  <c r="AX63" i="3"/>
  <c r="AX28" i="3"/>
  <c r="AX52" i="3"/>
  <c r="AX37" i="3"/>
  <c r="AX8" i="3"/>
  <c r="AX16" i="3"/>
  <c r="AX24" i="3"/>
  <c r="AX32" i="3"/>
  <c r="AX40" i="3"/>
  <c r="AX48" i="3"/>
  <c r="AX56" i="3"/>
  <c r="AX64" i="3"/>
  <c r="AX44" i="3"/>
  <c r="AX21" i="3"/>
  <c r="AX53" i="3"/>
  <c r="AX9" i="3"/>
  <c r="AX17" i="3"/>
  <c r="AX25" i="3"/>
  <c r="AX33" i="3"/>
  <c r="AX41" i="3"/>
  <c r="AX49" i="3"/>
  <c r="AX57" i="3"/>
  <c r="AX10" i="3"/>
  <c r="AX18" i="3"/>
  <c r="AX26" i="3"/>
  <c r="AX34" i="3"/>
  <c r="AX42" i="3"/>
  <c r="AX50" i="3"/>
  <c r="AX58" i="3"/>
  <c r="AX20" i="3"/>
  <c r="AX60" i="3"/>
  <c r="AX45" i="3"/>
  <c r="AX11" i="3"/>
  <c r="AX19" i="3"/>
  <c r="AX27" i="3"/>
  <c r="AX35" i="3"/>
  <c r="AX43" i="3"/>
  <c r="AX51" i="3"/>
  <c r="AX59" i="3"/>
  <c r="AX12" i="3"/>
  <c r="AX29" i="3"/>
  <c r="AX5" i="3"/>
  <c r="AV7" i="3"/>
  <c r="AV15" i="3"/>
  <c r="AV23" i="3"/>
  <c r="AV31" i="3"/>
  <c r="AV39" i="3"/>
  <c r="AV47" i="3"/>
  <c r="AV55" i="3"/>
  <c r="AV63" i="3"/>
  <c r="AV17" i="3"/>
  <c r="AV25" i="3"/>
  <c r="AV41" i="3"/>
  <c r="AV57" i="3"/>
  <c r="AV51" i="3"/>
  <c r="AV14" i="3"/>
  <c r="AV38" i="3"/>
  <c r="AV62" i="3"/>
  <c r="AV8" i="3"/>
  <c r="AV16" i="3"/>
  <c r="AV24" i="3"/>
  <c r="AV32" i="3"/>
  <c r="AV40" i="3"/>
  <c r="AV48" i="3"/>
  <c r="AV56" i="3"/>
  <c r="AV64" i="3"/>
  <c r="AV9" i="3"/>
  <c r="AV33" i="3"/>
  <c r="AV49" i="3"/>
  <c r="AV10" i="3"/>
  <c r="AV18" i="3"/>
  <c r="AV26" i="3"/>
  <c r="AV34" i="3"/>
  <c r="AV42" i="3"/>
  <c r="AV50" i="3"/>
  <c r="AV58" i="3"/>
  <c r="AV11" i="3"/>
  <c r="AV19" i="3"/>
  <c r="AV27" i="3"/>
  <c r="AV35" i="3"/>
  <c r="AV43" i="3"/>
  <c r="AV59" i="3"/>
  <c r="AV6" i="3"/>
  <c r="AV46" i="3"/>
  <c r="AV12" i="3"/>
  <c r="AV20" i="3"/>
  <c r="AV28" i="3"/>
  <c r="AV36" i="3"/>
  <c r="AV44" i="3"/>
  <c r="AV52" i="3"/>
  <c r="AV60" i="3"/>
  <c r="AV13" i="3"/>
  <c r="AV21" i="3"/>
  <c r="AV29" i="3"/>
  <c r="AV37" i="3"/>
  <c r="AV45" i="3"/>
  <c r="AV53" i="3"/>
  <c r="AV61" i="3"/>
  <c r="AV22" i="3"/>
  <c r="AV30" i="3"/>
  <c r="AV54" i="3"/>
  <c r="AV5" i="3"/>
  <c r="AT6" i="3"/>
  <c r="AT14" i="3"/>
  <c r="AT22" i="3"/>
  <c r="AT30" i="3"/>
  <c r="AT38" i="3"/>
  <c r="AT46" i="3"/>
  <c r="AT54" i="3"/>
  <c r="AT62" i="3"/>
  <c r="AT29" i="3"/>
  <c r="AT7" i="3"/>
  <c r="AT15" i="3"/>
  <c r="AT23" i="3"/>
  <c r="AT31" i="3"/>
  <c r="AT39" i="3"/>
  <c r="AT47" i="3"/>
  <c r="AT55" i="3"/>
  <c r="AT63" i="3"/>
  <c r="AT37" i="3"/>
  <c r="AT8" i="3"/>
  <c r="AT16" i="3"/>
  <c r="AT24" i="3"/>
  <c r="AT32" i="3"/>
  <c r="AT40" i="3"/>
  <c r="AT48" i="3"/>
  <c r="AT56" i="3"/>
  <c r="AT64" i="3"/>
  <c r="AT50" i="3"/>
  <c r="AT53" i="3"/>
  <c r="AT9" i="3"/>
  <c r="AT17" i="3"/>
  <c r="AT25" i="3"/>
  <c r="AT33" i="3"/>
  <c r="AT41" i="3"/>
  <c r="AT49" i="3"/>
  <c r="AT57" i="3"/>
  <c r="AT10" i="3"/>
  <c r="AT18" i="3"/>
  <c r="AT26" i="3"/>
  <c r="AT34" i="3"/>
  <c r="AT42" i="3"/>
  <c r="AT58" i="3"/>
  <c r="AT45" i="3"/>
  <c r="AT11" i="3"/>
  <c r="AT19" i="3"/>
  <c r="AT27" i="3"/>
  <c r="AT35" i="3"/>
  <c r="AT43" i="3"/>
  <c r="AT51" i="3"/>
  <c r="AT59" i="3"/>
  <c r="AU59" i="3" s="1"/>
  <c r="AT21" i="3"/>
  <c r="AT61" i="3"/>
  <c r="AT12" i="3"/>
  <c r="AT20" i="3"/>
  <c r="AT28" i="3"/>
  <c r="AT36" i="3"/>
  <c r="AT44" i="3"/>
  <c r="AT52" i="3"/>
  <c r="AT60" i="3"/>
  <c r="AT13" i="3"/>
  <c r="AT5" i="3"/>
  <c r="AR6" i="3"/>
  <c r="AR14" i="3"/>
  <c r="AR22" i="3"/>
  <c r="AR30" i="3"/>
  <c r="AR38" i="3"/>
  <c r="AR46" i="3"/>
  <c r="AR54" i="3"/>
  <c r="AR62" i="3"/>
  <c r="AR36" i="3"/>
  <c r="AR21" i="3"/>
  <c r="AR7" i="3"/>
  <c r="AR15" i="3"/>
  <c r="AR23" i="3"/>
  <c r="AR31" i="3"/>
  <c r="AR39" i="3"/>
  <c r="AR47" i="3"/>
  <c r="AR55" i="3"/>
  <c r="AR63" i="3"/>
  <c r="AR28" i="3"/>
  <c r="AR52" i="3"/>
  <c r="AR45" i="3"/>
  <c r="AR8" i="3"/>
  <c r="AR16" i="3"/>
  <c r="AR24" i="3"/>
  <c r="AR32" i="3"/>
  <c r="AR40" i="3"/>
  <c r="AR48" i="3"/>
  <c r="AR56" i="3"/>
  <c r="AR64" i="3"/>
  <c r="AR44" i="3"/>
  <c r="AR29" i="3"/>
  <c r="AR61" i="3"/>
  <c r="AR9" i="3"/>
  <c r="AR17" i="3"/>
  <c r="AR25" i="3"/>
  <c r="AR33" i="3"/>
  <c r="AR41" i="3"/>
  <c r="AR49" i="3"/>
  <c r="AR57" i="3"/>
  <c r="AR10" i="3"/>
  <c r="AR18" i="3"/>
  <c r="AR26" i="3"/>
  <c r="AR34" i="3"/>
  <c r="AR42" i="3"/>
  <c r="AR50" i="3"/>
  <c r="AR58" i="3"/>
  <c r="AR20" i="3"/>
  <c r="AR60" i="3"/>
  <c r="AR37" i="3"/>
  <c r="AR11" i="3"/>
  <c r="AR19" i="3"/>
  <c r="AR27" i="3"/>
  <c r="AR35" i="3"/>
  <c r="AR43" i="3"/>
  <c r="AR51" i="3"/>
  <c r="AR59" i="3"/>
  <c r="AR12" i="3"/>
  <c r="AR13" i="3"/>
  <c r="AR53" i="3"/>
  <c r="AR5" i="3"/>
  <c r="AP6" i="3"/>
  <c r="AP14" i="3"/>
  <c r="AP22" i="3"/>
  <c r="AP30" i="3"/>
  <c r="AP38" i="3"/>
  <c r="AP46" i="3"/>
  <c r="AP54" i="3"/>
  <c r="AP62" i="3"/>
  <c r="AP26" i="3"/>
  <c r="AP34" i="3"/>
  <c r="AP58" i="3"/>
  <c r="AP60" i="3"/>
  <c r="AP29" i="3"/>
  <c r="AP61" i="3"/>
  <c r="AP7" i="3"/>
  <c r="AP15" i="3"/>
  <c r="AP23" i="3"/>
  <c r="AP31" i="3"/>
  <c r="AP39" i="3"/>
  <c r="AP47" i="3"/>
  <c r="AP55" i="3"/>
  <c r="AP63" i="3"/>
  <c r="AP10" i="3"/>
  <c r="AP50" i="3"/>
  <c r="AP13" i="3"/>
  <c r="AP45" i="3"/>
  <c r="AP8" i="3"/>
  <c r="AP16" i="3"/>
  <c r="AP24" i="3"/>
  <c r="AP32" i="3"/>
  <c r="AP40" i="3"/>
  <c r="AP48" i="3"/>
  <c r="AP56" i="3"/>
  <c r="AP64" i="3"/>
  <c r="AP18" i="3"/>
  <c r="AP42" i="3"/>
  <c r="AP44" i="3"/>
  <c r="AP21" i="3"/>
  <c r="AP53" i="3"/>
  <c r="AP9" i="3"/>
  <c r="AP17" i="3"/>
  <c r="AP25" i="3"/>
  <c r="AP33" i="3"/>
  <c r="AP41" i="3"/>
  <c r="AP49" i="3"/>
  <c r="AP57" i="3"/>
  <c r="AP11" i="3"/>
  <c r="AP19" i="3"/>
  <c r="AP27" i="3"/>
  <c r="AP35" i="3"/>
  <c r="AP43" i="3"/>
  <c r="AP51" i="3"/>
  <c r="AP59" i="3"/>
  <c r="AP12" i="3"/>
  <c r="AP20" i="3"/>
  <c r="AP28" i="3"/>
  <c r="AP36" i="3"/>
  <c r="AP52" i="3"/>
  <c r="AP37" i="3"/>
  <c r="AP5" i="3"/>
  <c r="AN6" i="3"/>
  <c r="AN14" i="3"/>
  <c r="AN22" i="3"/>
  <c r="AN30" i="3"/>
  <c r="AN38" i="3"/>
  <c r="AN46" i="3"/>
  <c r="AN54" i="3"/>
  <c r="AN62" i="3"/>
  <c r="AN50" i="3"/>
  <c r="AN7" i="3"/>
  <c r="AN15" i="3"/>
  <c r="AN23" i="3"/>
  <c r="AN31" i="3"/>
  <c r="AN39" i="3"/>
  <c r="AN47" i="3"/>
  <c r="AN55" i="3"/>
  <c r="AN63" i="3"/>
  <c r="AN42" i="3"/>
  <c r="AN8" i="3"/>
  <c r="AN16" i="3"/>
  <c r="AN24" i="3"/>
  <c r="AN32" i="3"/>
  <c r="AN40" i="3"/>
  <c r="AN48" i="3"/>
  <c r="AN56" i="3"/>
  <c r="AN64" i="3"/>
  <c r="AN34" i="3"/>
  <c r="AN9" i="3"/>
  <c r="AN17" i="3"/>
  <c r="AN25" i="3"/>
  <c r="AN33" i="3"/>
  <c r="AN41" i="3"/>
  <c r="AN49" i="3"/>
  <c r="AN57" i="3"/>
  <c r="AN10" i="3"/>
  <c r="AN11" i="3"/>
  <c r="AN19" i="3"/>
  <c r="AN27" i="3"/>
  <c r="AN35" i="3"/>
  <c r="AN43" i="3"/>
  <c r="AN51" i="3"/>
  <c r="AN59" i="3"/>
  <c r="AN58" i="3"/>
  <c r="AN12" i="3"/>
  <c r="AN20" i="3"/>
  <c r="AN28" i="3"/>
  <c r="AN36" i="3"/>
  <c r="AN44" i="3"/>
  <c r="AN52" i="3"/>
  <c r="AN60" i="3"/>
  <c r="AN26" i="3"/>
  <c r="AN13" i="3"/>
  <c r="AN21" i="3"/>
  <c r="AN29" i="3"/>
  <c r="AN37" i="3"/>
  <c r="AN45" i="3"/>
  <c r="AN53" i="3"/>
  <c r="AN61" i="3"/>
  <c r="AN18" i="3"/>
  <c r="AN5" i="3"/>
  <c r="AL7" i="3"/>
  <c r="AL15" i="3"/>
  <c r="AL23" i="3"/>
  <c r="AL31" i="3"/>
  <c r="AL39" i="3"/>
  <c r="AL47" i="3"/>
  <c r="AL55" i="3"/>
  <c r="AL63" i="3"/>
  <c r="AL18" i="3"/>
  <c r="AL26" i="3"/>
  <c r="AL42" i="3"/>
  <c r="AL58" i="3"/>
  <c r="AL13" i="3"/>
  <c r="AL37" i="3"/>
  <c r="AL6" i="3"/>
  <c r="AL30" i="3"/>
  <c r="AL62" i="3"/>
  <c r="AL8" i="3"/>
  <c r="AL16" i="3"/>
  <c r="AL24" i="3"/>
  <c r="AL32" i="3"/>
  <c r="AL40" i="3"/>
  <c r="AL48" i="3"/>
  <c r="AL56" i="3"/>
  <c r="AL64" i="3"/>
  <c r="AL10" i="3"/>
  <c r="AL34" i="3"/>
  <c r="AL50" i="3"/>
  <c r="AL52" i="3"/>
  <c r="AL21" i="3"/>
  <c r="AL61" i="3"/>
  <c r="AL22" i="3"/>
  <c r="AL46" i="3"/>
  <c r="AL9" i="3"/>
  <c r="AL17" i="3"/>
  <c r="AL25" i="3"/>
  <c r="AL33" i="3"/>
  <c r="AL41" i="3"/>
  <c r="AL49" i="3"/>
  <c r="AL57" i="3"/>
  <c r="AL11" i="3"/>
  <c r="AL19" i="3"/>
  <c r="AL27" i="3"/>
  <c r="AL35" i="3"/>
  <c r="AL43" i="3"/>
  <c r="AL51" i="3"/>
  <c r="AL59" i="3"/>
  <c r="AL12" i="3"/>
  <c r="AL20" i="3"/>
  <c r="AL28" i="3"/>
  <c r="AL36" i="3"/>
  <c r="AL44" i="3"/>
  <c r="AL60" i="3"/>
  <c r="AL29" i="3"/>
  <c r="AL45" i="3"/>
  <c r="AL14" i="3"/>
  <c r="AL38" i="3"/>
  <c r="AL54" i="3"/>
  <c r="AL53" i="3"/>
  <c r="AL5" i="3"/>
  <c r="AJ6" i="3"/>
  <c r="AJ14" i="3"/>
  <c r="AJ22" i="3"/>
  <c r="AJ30" i="3"/>
  <c r="AJ38" i="3"/>
  <c r="AJ46" i="3"/>
  <c r="AJ54" i="3"/>
  <c r="AJ62" i="3"/>
  <c r="AJ25" i="3"/>
  <c r="AJ41" i="3"/>
  <c r="AJ7" i="3"/>
  <c r="AJ15" i="3"/>
  <c r="AJ23" i="3"/>
  <c r="AJ31" i="3"/>
  <c r="AJ39" i="3"/>
  <c r="AJ47" i="3"/>
  <c r="AJ55" i="3"/>
  <c r="AJ63" i="3"/>
  <c r="AJ9" i="3"/>
  <c r="AJ49" i="3"/>
  <c r="AJ43" i="3"/>
  <c r="AJ61" i="3"/>
  <c r="AJ8" i="3"/>
  <c r="AJ16" i="3"/>
  <c r="AJ24" i="3"/>
  <c r="AJ32" i="3"/>
  <c r="AJ40" i="3"/>
  <c r="AJ48" i="3"/>
  <c r="AJ56" i="3"/>
  <c r="AJ64" i="3"/>
  <c r="AJ17" i="3"/>
  <c r="AJ33" i="3"/>
  <c r="AJ57" i="3"/>
  <c r="AJ51" i="3"/>
  <c r="AJ10" i="3"/>
  <c r="AJ18" i="3"/>
  <c r="AJ26" i="3"/>
  <c r="AJ34" i="3"/>
  <c r="AJ42" i="3"/>
  <c r="AJ50" i="3"/>
  <c r="AJ58" i="3"/>
  <c r="AJ11" i="3"/>
  <c r="AJ19" i="3"/>
  <c r="AJ27" i="3"/>
  <c r="AJ35" i="3"/>
  <c r="AJ59" i="3"/>
  <c r="AJ12" i="3"/>
  <c r="AJ20" i="3"/>
  <c r="AJ28" i="3"/>
  <c r="AJ36" i="3"/>
  <c r="AJ44" i="3"/>
  <c r="AJ52" i="3"/>
  <c r="AJ60" i="3"/>
  <c r="AJ13" i="3"/>
  <c r="AJ21" i="3"/>
  <c r="AJ29" i="3"/>
  <c r="AJ37" i="3"/>
  <c r="AJ45" i="3"/>
  <c r="AJ53" i="3"/>
  <c r="AJ5" i="3"/>
  <c r="AH6" i="3"/>
  <c r="AH14" i="3"/>
  <c r="AH22" i="3"/>
  <c r="AH30" i="3"/>
  <c r="AH38" i="3"/>
  <c r="AH46" i="3"/>
  <c r="AH54" i="3"/>
  <c r="AH62" i="3"/>
  <c r="AH7" i="3"/>
  <c r="AH15" i="3"/>
  <c r="AH23" i="3"/>
  <c r="AH31" i="3"/>
  <c r="AH39" i="3"/>
  <c r="AH47" i="3"/>
  <c r="AH55" i="3"/>
  <c r="AH63" i="3"/>
  <c r="AH41" i="3"/>
  <c r="AH35" i="3"/>
  <c r="AH59" i="3"/>
  <c r="AH8" i="3"/>
  <c r="AH16" i="3"/>
  <c r="AH24" i="3"/>
  <c r="AH32" i="3"/>
  <c r="AH40" i="3"/>
  <c r="AH48" i="3"/>
  <c r="AH56" i="3"/>
  <c r="AH64" i="3"/>
  <c r="AH49" i="3"/>
  <c r="AH19" i="3"/>
  <c r="AH51" i="3"/>
  <c r="AH9" i="3"/>
  <c r="AH17" i="3"/>
  <c r="AH25" i="3"/>
  <c r="AH33" i="3"/>
  <c r="AH57" i="3"/>
  <c r="AH43" i="3"/>
  <c r="AH45" i="3"/>
  <c r="AH10" i="3"/>
  <c r="AH18" i="3"/>
  <c r="AH26" i="3"/>
  <c r="AH34" i="3"/>
  <c r="AH42" i="3"/>
  <c r="AH50" i="3"/>
  <c r="AH58" i="3"/>
  <c r="AH11" i="3"/>
  <c r="AH27" i="3"/>
  <c r="AH61" i="3"/>
  <c r="AH12" i="3"/>
  <c r="AH20" i="3"/>
  <c r="AH28" i="3"/>
  <c r="AH36" i="3"/>
  <c r="AH44" i="3"/>
  <c r="AH52" i="3"/>
  <c r="AH60" i="3"/>
  <c r="AH13" i="3"/>
  <c r="AH21" i="3"/>
  <c r="AH29" i="3"/>
  <c r="AH37" i="3"/>
  <c r="AH53" i="3"/>
  <c r="AH5" i="3"/>
  <c r="AF6" i="3"/>
  <c r="AF14" i="3"/>
  <c r="AF22" i="3"/>
  <c r="AF30" i="3"/>
  <c r="AF38" i="3"/>
  <c r="AF46" i="3"/>
  <c r="AF54" i="3"/>
  <c r="AF62" i="3"/>
  <c r="AF15" i="3"/>
  <c r="AF23" i="3"/>
  <c r="AF31" i="3"/>
  <c r="AF47" i="3"/>
  <c r="AF32" i="3"/>
  <c r="AF7" i="3"/>
  <c r="AF39" i="3"/>
  <c r="AF8" i="3"/>
  <c r="AF16" i="3"/>
  <c r="AF24" i="3"/>
  <c r="AF64" i="3"/>
  <c r="AF9" i="3"/>
  <c r="AF17" i="3"/>
  <c r="AF25" i="3"/>
  <c r="AF33" i="3"/>
  <c r="AF41" i="3"/>
  <c r="AF49" i="3"/>
  <c r="AF57" i="3"/>
  <c r="AF10" i="3"/>
  <c r="AF18" i="3"/>
  <c r="AF26" i="3"/>
  <c r="AF34" i="3"/>
  <c r="AF42" i="3"/>
  <c r="AF50" i="3"/>
  <c r="AF58" i="3"/>
  <c r="AF29" i="3"/>
  <c r="AF45" i="3"/>
  <c r="AF55" i="3"/>
  <c r="AF56" i="3"/>
  <c r="AF11" i="3"/>
  <c r="AF19" i="3"/>
  <c r="AF27" i="3"/>
  <c r="AF35" i="3"/>
  <c r="AF43" i="3"/>
  <c r="AF51" i="3"/>
  <c r="AF59" i="3"/>
  <c r="AF13" i="3"/>
  <c r="AF37" i="3"/>
  <c r="AF61" i="3"/>
  <c r="AF40" i="3"/>
  <c r="AF12" i="3"/>
  <c r="AF20" i="3"/>
  <c r="AF28" i="3"/>
  <c r="AF36" i="3"/>
  <c r="AF44" i="3"/>
  <c r="AF52" i="3"/>
  <c r="AF60" i="3"/>
  <c r="AF21" i="3"/>
  <c r="AF53" i="3"/>
  <c r="AF63" i="3"/>
  <c r="AF48" i="3"/>
  <c r="AF5" i="3"/>
  <c r="AD6" i="3"/>
  <c r="AD14" i="3"/>
  <c r="AD22" i="3"/>
  <c r="AD30" i="3"/>
  <c r="AD38" i="3"/>
  <c r="AD46" i="3"/>
  <c r="AD54" i="3"/>
  <c r="AD62" i="3"/>
  <c r="AD15" i="3"/>
  <c r="AD31" i="3"/>
  <c r="AD7" i="3"/>
  <c r="AD23" i="3"/>
  <c r="AD39" i="3"/>
  <c r="AD8" i="3"/>
  <c r="AD16" i="3"/>
  <c r="AD24" i="3"/>
  <c r="AD32" i="3"/>
  <c r="AD40" i="3"/>
  <c r="AD48" i="3"/>
  <c r="AD56" i="3"/>
  <c r="AD64" i="3"/>
  <c r="AD29" i="3"/>
  <c r="AD61" i="3"/>
  <c r="AD63" i="3"/>
  <c r="AD9" i="3"/>
  <c r="AD17" i="3"/>
  <c r="AD25" i="3"/>
  <c r="AD33" i="3"/>
  <c r="AD41" i="3"/>
  <c r="AD49" i="3"/>
  <c r="AD57" i="3"/>
  <c r="AD10" i="3"/>
  <c r="AD18" i="3"/>
  <c r="AD26" i="3"/>
  <c r="AD34" i="3"/>
  <c r="AD42" i="3"/>
  <c r="AD50" i="3"/>
  <c r="AD58" i="3"/>
  <c r="AD37" i="3"/>
  <c r="AD47" i="3"/>
  <c r="AD11" i="3"/>
  <c r="AD19" i="3"/>
  <c r="AD27" i="3"/>
  <c r="AD35" i="3"/>
  <c r="AD43" i="3"/>
  <c r="AD51" i="3"/>
  <c r="AD59" i="3"/>
  <c r="AD21" i="3"/>
  <c r="AD45" i="3"/>
  <c r="AD55" i="3"/>
  <c r="AD12" i="3"/>
  <c r="AD20" i="3"/>
  <c r="AD28" i="3"/>
  <c r="AD36" i="3"/>
  <c r="AD44" i="3"/>
  <c r="AD52" i="3"/>
  <c r="AD60" i="3"/>
  <c r="AD13" i="3"/>
  <c r="AD53" i="3"/>
  <c r="AD5" i="3"/>
  <c r="AB6" i="3"/>
  <c r="AB14" i="3"/>
  <c r="AB22" i="3"/>
  <c r="AB30" i="3"/>
  <c r="AB38" i="3"/>
  <c r="AB46" i="3"/>
  <c r="AB54" i="3"/>
  <c r="AB62" i="3"/>
  <c r="AB26" i="3"/>
  <c r="AB34" i="3"/>
  <c r="AB58" i="3"/>
  <c r="AB13" i="3"/>
  <c r="AB7" i="3"/>
  <c r="AB15" i="3"/>
  <c r="AB23" i="3"/>
  <c r="AB31" i="3"/>
  <c r="AB39" i="3"/>
  <c r="AB47" i="3"/>
  <c r="AB55" i="3"/>
  <c r="AB63" i="3"/>
  <c r="AB18" i="3"/>
  <c r="AB42" i="3"/>
  <c r="AB52" i="3"/>
  <c r="AB29" i="3"/>
  <c r="AB53" i="3"/>
  <c r="AB8" i="3"/>
  <c r="AB16" i="3"/>
  <c r="AB24" i="3"/>
  <c r="AB32" i="3"/>
  <c r="AB40" i="3"/>
  <c r="AB48" i="3"/>
  <c r="AB56" i="3"/>
  <c r="AB64" i="3"/>
  <c r="AB10" i="3"/>
  <c r="AB50" i="3"/>
  <c r="AB60" i="3"/>
  <c r="AB37" i="3"/>
  <c r="AB61" i="3"/>
  <c r="AB9" i="3"/>
  <c r="AB17" i="3"/>
  <c r="AB25" i="3"/>
  <c r="AB33" i="3"/>
  <c r="AB41" i="3"/>
  <c r="AB49" i="3"/>
  <c r="AB57" i="3"/>
  <c r="AB11" i="3"/>
  <c r="AB19" i="3"/>
  <c r="AB27" i="3"/>
  <c r="AB35" i="3"/>
  <c r="AB43" i="3"/>
  <c r="AB51" i="3"/>
  <c r="AB59" i="3"/>
  <c r="AB12" i="3"/>
  <c r="AB20" i="3"/>
  <c r="AB28" i="3"/>
  <c r="AB36" i="3"/>
  <c r="AB44" i="3"/>
  <c r="AB21" i="3"/>
  <c r="AB45" i="3"/>
  <c r="AB5" i="3"/>
  <c r="Z6" i="3"/>
  <c r="Z14" i="3"/>
  <c r="Z22" i="3"/>
  <c r="Z30" i="3"/>
  <c r="Z38" i="3"/>
  <c r="Z46" i="3"/>
  <c r="Z54" i="3"/>
  <c r="Z62" i="3"/>
  <c r="Z40" i="3"/>
  <c r="Z56" i="3"/>
  <c r="Z21" i="3"/>
  <c r="Z53" i="3"/>
  <c r="Z7" i="3"/>
  <c r="Z15" i="3"/>
  <c r="Z23" i="3"/>
  <c r="Z31" i="3"/>
  <c r="Z39" i="3"/>
  <c r="Z47" i="3"/>
  <c r="Z55" i="3"/>
  <c r="Z63" i="3"/>
  <c r="Z24" i="3"/>
  <c r="Z64" i="3"/>
  <c r="Z13" i="3"/>
  <c r="Z8" i="3"/>
  <c r="Z16" i="3"/>
  <c r="Z32" i="3"/>
  <c r="Z48" i="3"/>
  <c r="Z29" i="3"/>
  <c r="Z61" i="3"/>
  <c r="Z9" i="3"/>
  <c r="Z17" i="3"/>
  <c r="Z25" i="3"/>
  <c r="Z33" i="3"/>
  <c r="Z41" i="3"/>
  <c r="Z49" i="3"/>
  <c r="Z57" i="3"/>
  <c r="Z10" i="3"/>
  <c r="Z18" i="3"/>
  <c r="Z26" i="3"/>
  <c r="Z34" i="3"/>
  <c r="Z42" i="3"/>
  <c r="Z50" i="3"/>
  <c r="Z58" i="3"/>
  <c r="Z12" i="3"/>
  <c r="Z36" i="3"/>
  <c r="Z52" i="3"/>
  <c r="Z37" i="3"/>
  <c r="Z11" i="3"/>
  <c r="Z19" i="3"/>
  <c r="Z27" i="3"/>
  <c r="Z35" i="3"/>
  <c r="Z43" i="3"/>
  <c r="Z51" i="3"/>
  <c r="Z59" i="3"/>
  <c r="Z20" i="3"/>
  <c r="Z28" i="3"/>
  <c r="Z44" i="3"/>
  <c r="Z60" i="3"/>
  <c r="Z45" i="3"/>
  <c r="Z5" i="3"/>
  <c r="X6" i="3"/>
  <c r="X14" i="3"/>
  <c r="X22" i="3"/>
  <c r="X30" i="3"/>
  <c r="X38" i="3"/>
  <c r="X46" i="3"/>
  <c r="X54" i="3"/>
  <c r="X62" i="3"/>
  <c r="X53" i="3"/>
  <c r="X7" i="3"/>
  <c r="X15" i="3"/>
  <c r="X23" i="3"/>
  <c r="X31" i="3"/>
  <c r="X39" i="3"/>
  <c r="X47" i="3"/>
  <c r="X55" i="3"/>
  <c r="X63" i="3"/>
  <c r="X37" i="3"/>
  <c r="X8" i="3"/>
  <c r="X16" i="3"/>
  <c r="X24" i="3"/>
  <c r="X32" i="3"/>
  <c r="X40" i="3"/>
  <c r="X48" i="3"/>
  <c r="X56" i="3"/>
  <c r="X64" i="3"/>
  <c r="X45" i="3"/>
  <c r="X9" i="3"/>
  <c r="X17" i="3"/>
  <c r="X25" i="3"/>
  <c r="X33" i="3"/>
  <c r="X41" i="3"/>
  <c r="X49" i="3"/>
  <c r="X57" i="3"/>
  <c r="X10" i="3"/>
  <c r="X18" i="3"/>
  <c r="X26" i="3"/>
  <c r="X34" i="3"/>
  <c r="X42" i="3"/>
  <c r="X50" i="3"/>
  <c r="X58" i="3"/>
  <c r="X21" i="3"/>
  <c r="X61" i="3"/>
  <c r="X11" i="3"/>
  <c r="X19" i="3"/>
  <c r="X27" i="3"/>
  <c r="X35" i="3"/>
  <c r="X43" i="3"/>
  <c r="X51" i="3"/>
  <c r="X59" i="3"/>
  <c r="X29" i="3"/>
  <c r="X12" i="3"/>
  <c r="X20" i="3"/>
  <c r="X28" i="3"/>
  <c r="X36" i="3"/>
  <c r="X44" i="3"/>
  <c r="X52" i="3"/>
  <c r="X60" i="3"/>
  <c r="X13" i="3"/>
  <c r="X5" i="3"/>
  <c r="V7" i="3"/>
  <c r="V15" i="3"/>
  <c r="V23" i="3"/>
  <c r="V31" i="3"/>
  <c r="V39" i="3"/>
  <c r="V47" i="3"/>
  <c r="V55" i="3"/>
  <c r="V63" i="3"/>
  <c r="V17" i="3"/>
  <c r="V33" i="3"/>
  <c r="V49" i="3"/>
  <c r="V8" i="3"/>
  <c r="V16" i="3"/>
  <c r="V24" i="3"/>
  <c r="V32" i="3"/>
  <c r="V40" i="3"/>
  <c r="V48" i="3"/>
  <c r="V56" i="3"/>
  <c r="V64" i="3"/>
  <c r="V9" i="3"/>
  <c r="V25" i="3"/>
  <c r="V41" i="3"/>
  <c r="V57" i="3"/>
  <c r="V10" i="3"/>
  <c r="V18" i="3"/>
  <c r="V26" i="3"/>
  <c r="V34" i="3"/>
  <c r="V42" i="3"/>
  <c r="V50" i="3"/>
  <c r="V11" i="3"/>
  <c r="V19" i="3"/>
  <c r="V27" i="3"/>
  <c r="V35" i="3"/>
  <c r="V43" i="3"/>
  <c r="V51" i="3"/>
  <c r="V59" i="3"/>
  <c r="V21" i="3"/>
  <c r="V37" i="3"/>
  <c r="V53" i="3"/>
  <c r="V6" i="3"/>
  <c r="V30" i="3"/>
  <c r="V46" i="3"/>
  <c r="V62" i="3"/>
  <c r="V12" i="3"/>
  <c r="V20" i="3"/>
  <c r="V28" i="3"/>
  <c r="V36" i="3"/>
  <c r="V44" i="3"/>
  <c r="V52" i="3"/>
  <c r="V60" i="3"/>
  <c r="V13" i="3"/>
  <c r="V29" i="3"/>
  <c r="V45" i="3"/>
  <c r="V61" i="3"/>
  <c r="V14" i="3"/>
  <c r="V22" i="3"/>
  <c r="V38" i="3"/>
  <c r="V54" i="3"/>
  <c r="V58" i="3"/>
  <c r="V5" i="3"/>
  <c r="T6" i="3"/>
  <c r="T14" i="3"/>
  <c r="T22" i="3"/>
  <c r="T30" i="3"/>
  <c r="T38" i="3"/>
  <c r="T46" i="3"/>
  <c r="T54" i="3"/>
  <c r="T62" i="3"/>
  <c r="T7" i="3"/>
  <c r="T15" i="3"/>
  <c r="T23" i="3"/>
  <c r="T31" i="3"/>
  <c r="T39" i="3"/>
  <c r="T47" i="3"/>
  <c r="T55" i="3"/>
  <c r="T63" i="3"/>
  <c r="T8" i="3"/>
  <c r="T16" i="3"/>
  <c r="T24" i="3"/>
  <c r="T32" i="3"/>
  <c r="T40" i="3"/>
  <c r="T48" i="3"/>
  <c r="T56" i="3"/>
  <c r="T64" i="3"/>
  <c r="T28" i="3"/>
  <c r="T52" i="3"/>
  <c r="T13" i="3"/>
  <c r="T53" i="3"/>
  <c r="T9" i="3"/>
  <c r="T17" i="3"/>
  <c r="T25" i="3"/>
  <c r="T33" i="3"/>
  <c r="T41" i="3"/>
  <c r="T49" i="3"/>
  <c r="T57" i="3"/>
  <c r="T10" i="3"/>
  <c r="T18" i="3"/>
  <c r="T26" i="3"/>
  <c r="T34" i="3"/>
  <c r="T42" i="3"/>
  <c r="T50" i="3"/>
  <c r="T58" i="3"/>
  <c r="T20" i="3"/>
  <c r="T36" i="3"/>
  <c r="T60" i="3"/>
  <c r="T29" i="3"/>
  <c r="T45" i="3"/>
  <c r="T61" i="3"/>
  <c r="T11" i="3"/>
  <c r="T19" i="3"/>
  <c r="T27" i="3"/>
  <c r="T35" i="3"/>
  <c r="T43" i="3"/>
  <c r="T51" i="3"/>
  <c r="T59" i="3"/>
  <c r="T12" i="3"/>
  <c r="T44" i="3"/>
  <c r="T21" i="3"/>
  <c r="T37" i="3"/>
  <c r="T5" i="3"/>
  <c r="G9" i="3"/>
  <c r="R7" i="3"/>
  <c r="R15" i="3"/>
  <c r="R23" i="3"/>
  <c r="R31" i="3"/>
  <c r="R39" i="3"/>
  <c r="R47" i="3"/>
  <c r="R55" i="3"/>
  <c r="R63" i="3"/>
  <c r="R64" i="3"/>
  <c r="R26" i="3"/>
  <c r="R8" i="3"/>
  <c r="R16" i="3"/>
  <c r="R24" i="3"/>
  <c r="R32" i="3"/>
  <c r="R40" i="3"/>
  <c r="R48" i="3"/>
  <c r="R56" i="3"/>
  <c r="R34" i="3"/>
  <c r="R58" i="3"/>
  <c r="R9" i="3"/>
  <c r="R17" i="3"/>
  <c r="R25" i="3"/>
  <c r="R33" i="3"/>
  <c r="R41" i="3"/>
  <c r="R49" i="3"/>
  <c r="R57" i="3"/>
  <c r="R11" i="3"/>
  <c r="R19" i="3"/>
  <c r="R27" i="3"/>
  <c r="R35" i="3"/>
  <c r="R43" i="3"/>
  <c r="R51" i="3"/>
  <c r="R59" i="3"/>
  <c r="R21" i="3"/>
  <c r="R37" i="3"/>
  <c r="R53" i="3"/>
  <c r="R6" i="3"/>
  <c r="R30" i="3"/>
  <c r="R46" i="3"/>
  <c r="R62" i="3"/>
  <c r="R18" i="3"/>
  <c r="R50" i="3"/>
  <c r="R12" i="3"/>
  <c r="R20" i="3"/>
  <c r="R28" i="3"/>
  <c r="R36" i="3"/>
  <c r="R44" i="3"/>
  <c r="R52" i="3"/>
  <c r="R60" i="3"/>
  <c r="R13" i="3"/>
  <c r="R29" i="3"/>
  <c r="R45" i="3"/>
  <c r="R61" i="3"/>
  <c r="R14" i="3"/>
  <c r="R22" i="3"/>
  <c r="R38" i="3"/>
  <c r="R54" i="3"/>
  <c r="R10" i="3"/>
  <c r="R42" i="3"/>
  <c r="R5" i="3"/>
  <c r="P6" i="3"/>
  <c r="P14" i="3"/>
  <c r="P22" i="3"/>
  <c r="P30" i="3"/>
  <c r="P38" i="3"/>
  <c r="P46" i="3"/>
  <c r="P54" i="3"/>
  <c r="P62" i="3"/>
  <c r="P39" i="3"/>
  <c r="P63" i="3"/>
  <c r="P32" i="3"/>
  <c r="P7" i="3"/>
  <c r="P15" i="3"/>
  <c r="P23" i="3"/>
  <c r="P31" i="3"/>
  <c r="P47" i="3"/>
  <c r="P55" i="3"/>
  <c r="P48" i="3"/>
  <c r="P8" i="3"/>
  <c r="P16" i="3"/>
  <c r="P24" i="3"/>
  <c r="P40" i="3"/>
  <c r="P9" i="3"/>
  <c r="P17" i="3"/>
  <c r="P25" i="3"/>
  <c r="P33" i="3"/>
  <c r="P41" i="3"/>
  <c r="P49" i="3"/>
  <c r="P57" i="3"/>
  <c r="P10" i="3"/>
  <c r="P18" i="3"/>
  <c r="P26" i="3"/>
  <c r="P34" i="3"/>
  <c r="P42" i="3"/>
  <c r="P50" i="3"/>
  <c r="P58" i="3"/>
  <c r="P29" i="3"/>
  <c r="P53" i="3"/>
  <c r="P64" i="3"/>
  <c r="P11" i="3"/>
  <c r="P19" i="3"/>
  <c r="P27" i="3"/>
  <c r="P35" i="3"/>
  <c r="P43" i="3"/>
  <c r="P51" i="3"/>
  <c r="P59" i="3"/>
  <c r="P21" i="3"/>
  <c r="P45" i="3"/>
  <c r="P61" i="3"/>
  <c r="P12" i="3"/>
  <c r="P20" i="3"/>
  <c r="P28" i="3"/>
  <c r="P36" i="3"/>
  <c r="P44" i="3"/>
  <c r="P52" i="3"/>
  <c r="P60" i="3"/>
  <c r="P13" i="3"/>
  <c r="P37" i="3"/>
  <c r="P56" i="3"/>
  <c r="P5" i="3"/>
  <c r="N6" i="3"/>
  <c r="N14" i="3"/>
  <c r="N22" i="3"/>
  <c r="N30" i="3"/>
  <c r="N38" i="3"/>
  <c r="N46" i="3"/>
  <c r="N54" i="3"/>
  <c r="N62" i="3"/>
  <c r="N51" i="3"/>
  <c r="N7" i="3"/>
  <c r="N15" i="3"/>
  <c r="N23" i="3"/>
  <c r="N31" i="3"/>
  <c r="N39" i="3"/>
  <c r="N47" i="3"/>
  <c r="N55" i="3"/>
  <c r="N63" i="3"/>
  <c r="N43" i="3"/>
  <c r="N8" i="3"/>
  <c r="N16" i="3"/>
  <c r="N24" i="3"/>
  <c r="N32" i="3"/>
  <c r="N40" i="3"/>
  <c r="N48" i="3"/>
  <c r="N56" i="3"/>
  <c r="N64" i="3"/>
  <c r="N19" i="3"/>
  <c r="N9" i="3"/>
  <c r="N17" i="3"/>
  <c r="N25" i="3"/>
  <c r="N33" i="3"/>
  <c r="N41" i="3"/>
  <c r="N49" i="3"/>
  <c r="N57" i="3"/>
  <c r="N10" i="3"/>
  <c r="N18" i="3"/>
  <c r="N26" i="3"/>
  <c r="N34" i="3"/>
  <c r="N42" i="3"/>
  <c r="N50" i="3"/>
  <c r="N58" i="3"/>
  <c r="N11" i="3"/>
  <c r="N59" i="3"/>
  <c r="N12" i="3"/>
  <c r="N20" i="3"/>
  <c r="N28" i="3"/>
  <c r="N36" i="3"/>
  <c r="N44" i="3"/>
  <c r="N52" i="3"/>
  <c r="N60" i="3"/>
  <c r="N35" i="3"/>
  <c r="N13" i="3"/>
  <c r="N21" i="3"/>
  <c r="N29" i="3"/>
  <c r="N37" i="3"/>
  <c r="N45" i="3"/>
  <c r="N53" i="3"/>
  <c r="N61" i="3"/>
  <c r="N27" i="3"/>
  <c r="N5" i="3"/>
  <c r="L7" i="3"/>
  <c r="L15" i="3"/>
  <c r="L23" i="3"/>
  <c r="L31" i="3"/>
  <c r="L39" i="3"/>
  <c r="L47" i="3"/>
  <c r="L55" i="3"/>
  <c r="L63" i="3"/>
  <c r="L16" i="3"/>
  <c r="L24" i="3"/>
  <c r="L32" i="3"/>
  <c r="L40" i="3"/>
  <c r="L48" i="3"/>
  <c r="L56" i="3"/>
  <c r="L9" i="3"/>
  <c r="L25" i="3"/>
  <c r="L41" i="3"/>
  <c r="L49" i="3"/>
  <c r="L8" i="3"/>
  <c r="L64" i="3"/>
  <c r="L17" i="3"/>
  <c r="L33" i="3"/>
  <c r="L57" i="3"/>
  <c r="L10" i="3"/>
  <c r="L18" i="3"/>
  <c r="L26" i="3"/>
  <c r="L34" i="3"/>
  <c r="L42" i="3"/>
  <c r="L50" i="3"/>
  <c r="L58" i="3"/>
  <c r="L20" i="3"/>
  <c r="L28" i="3"/>
  <c r="L44" i="3"/>
  <c r="L60" i="3"/>
  <c r="L21" i="3"/>
  <c r="L29" i="3"/>
  <c r="L53" i="3"/>
  <c r="L6" i="3"/>
  <c r="L30" i="3"/>
  <c r="L46" i="3"/>
  <c r="L62" i="3"/>
  <c r="L11" i="3"/>
  <c r="L19" i="3"/>
  <c r="L27" i="3"/>
  <c r="L35" i="3"/>
  <c r="L43" i="3"/>
  <c r="L51" i="3"/>
  <c r="L59" i="3"/>
  <c r="L12" i="3"/>
  <c r="L36" i="3"/>
  <c r="L52" i="3"/>
  <c r="L13" i="3"/>
  <c r="L37" i="3"/>
  <c r="L45" i="3"/>
  <c r="L61" i="3"/>
  <c r="L14" i="3"/>
  <c r="L22" i="3"/>
  <c r="L38" i="3"/>
  <c r="L54" i="3"/>
  <c r="L5" i="3"/>
  <c r="J6" i="3"/>
  <c r="J8" i="3"/>
  <c r="J16" i="3"/>
  <c r="J24" i="3"/>
  <c r="J32" i="3"/>
  <c r="J40" i="3"/>
  <c r="J48" i="3"/>
  <c r="J56" i="3"/>
  <c r="J64" i="3"/>
  <c r="J9" i="3"/>
  <c r="J17" i="3"/>
  <c r="J25" i="3"/>
  <c r="J33" i="3"/>
  <c r="J41" i="3"/>
  <c r="J49" i="3"/>
  <c r="J57" i="3"/>
  <c r="J10" i="3"/>
  <c r="J18" i="3"/>
  <c r="J26" i="3"/>
  <c r="J34" i="3"/>
  <c r="J42" i="3"/>
  <c r="J50" i="3"/>
  <c r="J58" i="3"/>
  <c r="J11" i="3"/>
  <c r="J19" i="3"/>
  <c r="J27" i="3"/>
  <c r="J35" i="3"/>
  <c r="J43" i="3"/>
  <c r="J59" i="3"/>
  <c r="J23" i="3"/>
  <c r="J39" i="3"/>
  <c r="J55" i="3"/>
  <c r="J51" i="3"/>
  <c r="J12" i="3"/>
  <c r="J20" i="3"/>
  <c r="J28" i="3"/>
  <c r="J36" i="3"/>
  <c r="J44" i="3"/>
  <c r="J52" i="3"/>
  <c r="J60" i="3"/>
  <c r="J13" i="3"/>
  <c r="J21" i="3"/>
  <c r="J29" i="3"/>
  <c r="J37" i="3"/>
  <c r="J45" i="3"/>
  <c r="J53" i="3"/>
  <c r="J61" i="3"/>
  <c r="J14" i="3"/>
  <c r="J22" i="3"/>
  <c r="J30" i="3"/>
  <c r="J38" i="3"/>
  <c r="J46" i="3"/>
  <c r="J54" i="3"/>
  <c r="J62" i="3"/>
  <c r="J7" i="3"/>
  <c r="J15" i="3"/>
  <c r="J31" i="3"/>
  <c r="J47" i="3"/>
  <c r="J63" i="3"/>
  <c r="G58" i="3"/>
  <c r="J5" i="3"/>
  <c r="G35" i="3"/>
  <c r="G63" i="3"/>
  <c r="G26" i="3"/>
  <c r="G48" i="3"/>
  <c r="G37" i="3"/>
  <c r="G49" i="3"/>
  <c r="G24" i="3"/>
  <c r="G16" i="3"/>
  <c r="G19" i="3"/>
  <c r="H10" i="3"/>
  <c r="H18" i="3"/>
  <c r="H26" i="3"/>
  <c r="H34" i="3"/>
  <c r="H42" i="3"/>
  <c r="H50" i="3"/>
  <c r="H58" i="3"/>
  <c r="H21" i="3"/>
  <c r="H45" i="3"/>
  <c r="H6" i="3"/>
  <c r="H38" i="3"/>
  <c r="H7" i="3"/>
  <c r="H39" i="3"/>
  <c r="H63" i="3"/>
  <c r="H24" i="3"/>
  <c r="H40" i="3"/>
  <c r="H64" i="3"/>
  <c r="H17" i="3"/>
  <c r="H33" i="3"/>
  <c r="H57" i="3"/>
  <c r="H11" i="3"/>
  <c r="H19" i="3"/>
  <c r="H27" i="3"/>
  <c r="H35" i="3"/>
  <c r="H43" i="3"/>
  <c r="H51" i="3"/>
  <c r="H59" i="3"/>
  <c r="H29" i="3"/>
  <c r="H53" i="3"/>
  <c r="H14" i="3"/>
  <c r="H46" i="3"/>
  <c r="H62" i="3"/>
  <c r="H23" i="3"/>
  <c r="H47" i="3"/>
  <c r="H16" i="3"/>
  <c r="H32" i="3"/>
  <c r="H48" i="3"/>
  <c r="H25" i="3"/>
  <c r="H49" i="3"/>
  <c r="H12" i="3"/>
  <c r="H20" i="3"/>
  <c r="H28" i="3"/>
  <c r="H36" i="3"/>
  <c r="H44" i="3"/>
  <c r="H52" i="3"/>
  <c r="H60" i="3"/>
  <c r="H13" i="3"/>
  <c r="H37" i="3"/>
  <c r="H61" i="3"/>
  <c r="H22" i="3"/>
  <c r="H30" i="3"/>
  <c r="H54" i="3"/>
  <c r="H15" i="3"/>
  <c r="H31" i="3"/>
  <c r="H55" i="3"/>
  <c r="H8" i="3"/>
  <c r="H56" i="3"/>
  <c r="H9" i="3"/>
  <c r="H41" i="3"/>
  <c r="H5" i="3"/>
  <c r="G12" i="3"/>
  <c r="G30" i="3"/>
  <c r="G43" i="3"/>
  <c r="G52" i="3"/>
  <c r="G29" i="3"/>
  <c r="G34" i="3"/>
  <c r="G56" i="3"/>
  <c r="G59" i="3"/>
  <c r="G41" i="3"/>
  <c r="G23" i="3"/>
  <c r="G61" i="3"/>
  <c r="G20" i="3"/>
  <c r="G45" i="3"/>
  <c r="G10" i="3"/>
  <c r="G32" i="3"/>
  <c r="G17" i="3"/>
  <c r="G7" i="3"/>
  <c r="G38" i="3"/>
  <c r="G27" i="3"/>
  <c r="G33" i="3"/>
  <c r="G55" i="3"/>
  <c r="G21" i="3"/>
  <c r="G13" i="3"/>
  <c r="G60" i="3"/>
  <c r="G14" i="3"/>
  <c r="G50" i="3"/>
  <c r="G8" i="3"/>
  <c r="G47" i="3"/>
  <c r="G11" i="3"/>
  <c r="G42" i="3"/>
  <c r="G64" i="3"/>
  <c r="G54" i="3"/>
  <c r="G39" i="3"/>
  <c r="G53" i="3"/>
  <c r="G44" i="3"/>
  <c r="G62" i="3"/>
  <c r="G57" i="3"/>
  <c r="G31" i="3"/>
  <c r="G46" i="3"/>
  <c r="G36" i="3"/>
  <c r="G22" i="3"/>
  <c r="G28" i="3"/>
  <c r="G51" i="3"/>
  <c r="G6" i="3"/>
  <c r="G18" i="3"/>
  <c r="G40" i="3"/>
  <c r="G25" i="3"/>
  <c r="G15" i="3"/>
  <c r="D7" i="3"/>
  <c r="D15" i="3"/>
  <c r="D23" i="3"/>
  <c r="D31" i="3"/>
  <c r="D39" i="3"/>
  <c r="D47" i="3"/>
  <c r="D55" i="3"/>
  <c r="D63" i="3"/>
  <c r="D8" i="3"/>
  <c r="D16" i="3"/>
  <c r="D24" i="3"/>
  <c r="D32" i="3"/>
  <c r="D40" i="3"/>
  <c r="D48" i="3"/>
  <c r="D56" i="3"/>
  <c r="D64" i="3"/>
  <c r="D38" i="3"/>
  <c r="D9" i="3"/>
  <c r="D17" i="3"/>
  <c r="D25" i="3"/>
  <c r="D33" i="3"/>
  <c r="D41" i="3"/>
  <c r="D49" i="3"/>
  <c r="D57" i="3"/>
  <c r="D10" i="3"/>
  <c r="D18" i="3"/>
  <c r="D26" i="3"/>
  <c r="D34" i="3"/>
  <c r="D42" i="3"/>
  <c r="D50" i="3"/>
  <c r="D58" i="3"/>
  <c r="D20" i="3"/>
  <c r="D36" i="3"/>
  <c r="D52" i="3"/>
  <c r="D13" i="3"/>
  <c r="D29" i="3"/>
  <c r="D45" i="3"/>
  <c r="D61" i="3"/>
  <c r="D22" i="3"/>
  <c r="D46" i="3"/>
  <c r="D62" i="3"/>
  <c r="D11" i="3"/>
  <c r="D19" i="3"/>
  <c r="D27" i="3"/>
  <c r="D35" i="3"/>
  <c r="D43" i="3"/>
  <c r="D51" i="3"/>
  <c r="D59" i="3"/>
  <c r="D12" i="3"/>
  <c r="D28" i="3"/>
  <c r="D44" i="3"/>
  <c r="D60" i="3"/>
  <c r="D21" i="3"/>
  <c r="D37" i="3"/>
  <c r="D53" i="3"/>
  <c r="D14" i="3"/>
  <c r="D30" i="3"/>
  <c r="D54" i="3"/>
  <c r="D6" i="3"/>
  <c r="D5" i="3"/>
  <c r="B26" i="3"/>
  <c r="B34" i="3"/>
  <c r="B42" i="3"/>
  <c r="B50" i="3"/>
  <c r="B58" i="3"/>
  <c r="B27" i="3"/>
  <c r="B35" i="3"/>
  <c r="B43" i="3"/>
  <c r="B51" i="3"/>
  <c r="B59" i="3"/>
  <c r="B40" i="3"/>
  <c r="B25" i="3"/>
  <c r="B57" i="3"/>
  <c r="B28" i="3"/>
  <c r="B36" i="3"/>
  <c r="B44" i="3"/>
  <c r="B52" i="3"/>
  <c r="B60" i="3"/>
  <c r="B38" i="3"/>
  <c r="B46" i="3"/>
  <c r="B62" i="3"/>
  <c r="B39" i="3"/>
  <c r="B55" i="3"/>
  <c r="B24" i="3"/>
  <c r="B56" i="3"/>
  <c r="B64" i="3"/>
  <c r="B41" i="3"/>
  <c r="B49" i="3"/>
  <c r="B29" i="3"/>
  <c r="B37" i="3"/>
  <c r="B45" i="3"/>
  <c r="B53" i="3"/>
  <c r="B61" i="3"/>
  <c r="B30" i="3"/>
  <c r="B54" i="3"/>
  <c r="B31" i="3"/>
  <c r="B47" i="3"/>
  <c r="B63" i="3"/>
  <c r="B32" i="3"/>
  <c r="B48" i="3"/>
  <c r="B33" i="3"/>
  <c r="B5" i="3"/>
  <c r="B13" i="3"/>
  <c r="B21" i="3"/>
  <c r="B6" i="3"/>
  <c r="B15" i="3"/>
  <c r="B8" i="3"/>
  <c r="B16" i="3"/>
  <c r="B9" i="3"/>
  <c r="B17" i="3"/>
  <c r="B7" i="3"/>
  <c r="B10" i="3"/>
  <c r="B18" i="3"/>
  <c r="B20" i="3"/>
  <c r="B14" i="3"/>
  <c r="B23" i="3"/>
  <c r="B11" i="3"/>
  <c r="B19" i="3"/>
  <c r="B12" i="3"/>
  <c r="B22" i="3"/>
  <c r="X2" i="2"/>
  <c r="AT4" i="3" s="1"/>
  <c r="G2" i="2"/>
  <c r="L4" i="3" s="1"/>
  <c r="V2" i="2"/>
  <c r="AP4" i="3" s="1"/>
  <c r="R2" i="2"/>
  <c r="AH4" i="3" s="1"/>
  <c r="E2" i="2"/>
  <c r="H4" i="3" s="1"/>
  <c r="P2" i="2"/>
  <c r="AD4" i="3" s="1"/>
  <c r="F2" i="2"/>
  <c r="J4" i="3" s="1"/>
  <c r="AA2" i="2"/>
  <c r="AZ4" i="3" s="1"/>
  <c r="M2" i="2"/>
  <c r="X4" i="3" s="1"/>
  <c r="N2" i="2"/>
  <c r="Z4" i="3" s="1"/>
  <c r="AE2" i="2"/>
  <c r="BH4" i="3" s="1"/>
  <c r="L2" i="2"/>
  <c r="V4" i="3" s="1"/>
  <c r="J2" i="2"/>
  <c r="R4" i="3" s="1"/>
  <c r="C2" i="2"/>
  <c r="D4" i="3" s="1"/>
  <c r="S2" i="2"/>
  <c r="AJ4" i="3" s="1"/>
  <c r="AF2" i="2"/>
  <c r="BJ4" i="3" s="1"/>
  <c r="B2" i="2"/>
  <c r="B4" i="3" s="1"/>
  <c r="W2" i="2"/>
  <c r="AR4" i="3" s="1"/>
  <c r="Q2" i="2"/>
  <c r="AF4" i="3" s="1"/>
  <c r="Z2" i="2"/>
  <c r="AX4" i="3" s="1"/>
  <c r="K2" i="2"/>
  <c r="T4" i="3" s="1"/>
  <c r="H2" i="2"/>
  <c r="N4" i="3" s="1"/>
  <c r="O2" i="2"/>
  <c r="AB4" i="3" s="1"/>
  <c r="U2" i="2"/>
  <c r="AN4" i="3" s="1"/>
  <c r="AD2" i="2"/>
  <c r="BF4" i="3" s="1"/>
  <c r="AC2" i="2"/>
  <c r="BD4" i="3" s="1"/>
  <c r="I2" i="2"/>
  <c r="P4" i="3" s="1"/>
  <c r="Y2" i="2"/>
  <c r="AV4" i="3" s="1"/>
  <c r="AB2" i="2"/>
  <c r="BB4" i="3" s="1"/>
  <c r="T2" i="2"/>
  <c r="AL4" i="3" s="1"/>
  <c r="AW64" i="3" l="1"/>
  <c r="AO28" i="3"/>
  <c r="BG32" i="3"/>
  <c r="BI39" i="3"/>
  <c r="BC59" i="3"/>
  <c r="AO36" i="3"/>
  <c r="AO20" i="3"/>
  <c r="AQ35" i="3"/>
  <c r="BG16" i="3"/>
  <c r="E48" i="3"/>
  <c r="O61" i="3"/>
  <c r="AW40" i="3"/>
  <c r="AO21" i="3"/>
  <c r="AA49" i="3"/>
  <c r="AM25" i="3"/>
  <c r="K17" i="3"/>
  <c r="BI56" i="3"/>
  <c r="AW56" i="3"/>
  <c r="AW36" i="3"/>
  <c r="Y52" i="3"/>
  <c r="BI8" i="3"/>
  <c r="AW9" i="3"/>
  <c r="AG16" i="3"/>
  <c r="AS37" i="3"/>
  <c r="U8" i="3"/>
  <c r="U56" i="3"/>
  <c r="C22" i="3"/>
  <c r="AM17" i="3"/>
  <c r="BI55" i="3"/>
  <c r="BG40" i="3"/>
  <c r="BI7" i="3"/>
  <c r="BI40" i="3"/>
  <c r="K57" i="3"/>
  <c r="BI63" i="3"/>
  <c r="W18" i="3"/>
  <c r="AO37" i="3"/>
  <c r="K15" i="3"/>
  <c r="AO61" i="3"/>
  <c r="C60" i="3"/>
  <c r="BI15" i="3"/>
  <c r="E16" i="3"/>
  <c r="AM33" i="3"/>
  <c r="O13" i="3"/>
  <c r="BG24" i="3"/>
  <c r="AI15" i="3"/>
  <c r="AI23" i="3"/>
  <c r="U24" i="3"/>
  <c r="AM49" i="3"/>
  <c r="AO29" i="3"/>
  <c r="AW12" i="3"/>
  <c r="K33" i="3"/>
  <c r="AO60" i="3"/>
  <c r="AK58" i="3"/>
  <c r="AW16" i="3"/>
  <c r="S28" i="3"/>
  <c r="S36" i="3"/>
  <c r="Y36" i="3"/>
  <c r="AG24" i="3"/>
  <c r="AW44" i="3"/>
  <c r="AW24" i="3"/>
  <c r="U39" i="3"/>
  <c r="BG8" i="3"/>
  <c r="O45" i="3"/>
  <c r="BI32" i="3"/>
  <c r="AI55" i="3"/>
  <c r="BE28" i="3"/>
  <c r="AC51" i="3"/>
  <c r="AO53" i="3"/>
  <c r="BI16" i="3"/>
  <c r="AO52" i="3"/>
  <c r="BI24" i="3"/>
  <c r="AK10" i="3"/>
  <c r="Y44" i="3"/>
  <c r="AO44" i="3"/>
  <c r="U64" i="3"/>
  <c r="AQ11" i="3"/>
  <c r="AI39" i="3"/>
  <c r="AW8" i="3"/>
  <c r="U32" i="3"/>
  <c r="K25" i="3"/>
  <c r="BK15" i="3"/>
  <c r="O21" i="3"/>
  <c r="C44" i="3"/>
  <c r="BG64" i="3"/>
  <c r="BK26" i="3"/>
  <c r="BK40" i="3"/>
  <c r="O37" i="3"/>
  <c r="BK59" i="3"/>
  <c r="AE63" i="3"/>
  <c r="BG48" i="3"/>
  <c r="AM41" i="3"/>
  <c r="U23" i="3"/>
  <c r="BI23" i="3"/>
  <c r="BK11" i="3"/>
  <c r="BK31" i="3"/>
  <c r="U63" i="3"/>
  <c r="C36" i="3"/>
  <c r="BK37" i="3"/>
  <c r="BK48" i="3"/>
  <c r="U15" i="3"/>
  <c r="AW20" i="3"/>
  <c r="BK28" i="3"/>
  <c r="BK42" i="3"/>
  <c r="BK56" i="3"/>
  <c r="BK62" i="3"/>
  <c r="BI31" i="3"/>
  <c r="BG51" i="3"/>
  <c r="BK23" i="3"/>
  <c r="BK54" i="3"/>
  <c r="BK7" i="3"/>
  <c r="Y60" i="3"/>
  <c r="BG54" i="3"/>
  <c r="BI53" i="3"/>
  <c r="BK34" i="3"/>
  <c r="C28" i="3"/>
  <c r="BK16" i="3"/>
  <c r="BK8" i="3"/>
  <c r="BI9" i="3"/>
  <c r="BK19" i="3"/>
  <c r="BK39" i="3"/>
  <c r="BG14" i="3"/>
  <c r="AM57" i="3"/>
  <c r="AW32" i="3"/>
  <c r="BG56" i="3"/>
  <c r="BK51" i="3"/>
  <c r="BK18" i="3"/>
  <c r="BK9" i="3"/>
  <c r="BK60" i="3"/>
  <c r="BK27" i="3"/>
  <c r="BK47" i="3"/>
  <c r="AI31" i="3"/>
  <c r="AO45" i="3"/>
  <c r="BK44" i="3"/>
  <c r="BK50" i="3"/>
  <c r="BK64" i="3"/>
  <c r="AI63" i="3"/>
  <c r="BK12" i="3"/>
  <c r="BK57" i="3"/>
  <c r="BK21" i="3"/>
  <c r="BK33" i="3"/>
  <c r="BK46" i="3"/>
  <c r="BK52" i="3"/>
  <c r="BK32" i="3"/>
  <c r="BK38" i="3"/>
  <c r="BG45" i="3"/>
  <c r="BG36" i="3"/>
  <c r="BI12" i="3"/>
  <c r="BI42" i="3"/>
  <c r="BK45" i="3"/>
  <c r="BK43" i="3"/>
  <c r="BK36" i="3"/>
  <c r="BK10" i="3"/>
  <c r="BK24" i="3"/>
  <c r="BK63" i="3"/>
  <c r="BK61" i="3"/>
  <c r="BK30" i="3"/>
  <c r="BG19" i="3"/>
  <c r="BK13" i="3"/>
  <c r="BK35" i="3"/>
  <c r="BK20" i="3"/>
  <c r="BK49" i="3"/>
  <c r="BK55" i="3"/>
  <c r="BK29" i="3"/>
  <c r="BK22" i="3"/>
  <c r="BI51" i="3"/>
  <c r="BI29" i="3"/>
  <c r="BK58" i="3"/>
  <c r="BK17" i="3"/>
  <c r="BK41" i="3"/>
  <c r="BK14" i="3"/>
  <c r="BK53" i="3"/>
  <c r="BK25" i="3"/>
  <c r="BK6" i="3"/>
  <c r="BI21" i="3"/>
  <c r="K41" i="3"/>
  <c r="BI33" i="3"/>
  <c r="BI37" i="3"/>
  <c r="BI25" i="3"/>
  <c r="BG9" i="3"/>
  <c r="BI59" i="3"/>
  <c r="BI17" i="3"/>
  <c r="BG59" i="3"/>
  <c r="BI45" i="3"/>
  <c r="BG49" i="3"/>
  <c r="BI54" i="3"/>
  <c r="S60" i="3"/>
  <c r="BI47" i="3"/>
  <c r="AM9" i="3"/>
  <c r="BI48" i="3"/>
  <c r="BI50" i="3"/>
  <c r="S44" i="3"/>
  <c r="BG25" i="3"/>
  <c r="BI61" i="3"/>
  <c r="BI18" i="3"/>
  <c r="BI27" i="3"/>
  <c r="BI20" i="3"/>
  <c r="BI19" i="3"/>
  <c r="BI49" i="3"/>
  <c r="BI11" i="3"/>
  <c r="BI62" i="3"/>
  <c r="BI34" i="3"/>
  <c r="BI26" i="3"/>
  <c r="BI46" i="3"/>
  <c r="BI64" i="3"/>
  <c r="BI43" i="3"/>
  <c r="BI60" i="3"/>
  <c r="BI38" i="3"/>
  <c r="BI35" i="3"/>
  <c r="BI36" i="3"/>
  <c r="BI10" i="3"/>
  <c r="BI30" i="3"/>
  <c r="BI57" i="3"/>
  <c r="BI13" i="3"/>
  <c r="BI22" i="3"/>
  <c r="BI58" i="3"/>
  <c r="BI44" i="3"/>
  <c r="BI14" i="3"/>
  <c r="BI52" i="3"/>
  <c r="BI41" i="3"/>
  <c r="BI28" i="3"/>
  <c r="BI6" i="3"/>
  <c r="BG41" i="3"/>
  <c r="BG33" i="3"/>
  <c r="BG35" i="3"/>
  <c r="BG11" i="3"/>
  <c r="BE15" i="3"/>
  <c r="BG13" i="3"/>
  <c r="BG57" i="3"/>
  <c r="BG46" i="3"/>
  <c r="BG63" i="3"/>
  <c r="BE20" i="3"/>
  <c r="BG53" i="3"/>
  <c r="BG44" i="3"/>
  <c r="BG27" i="3"/>
  <c r="BG42" i="3"/>
  <c r="BG37" i="3"/>
  <c r="BG28" i="3"/>
  <c r="BG17" i="3"/>
  <c r="BE50" i="3"/>
  <c r="BE23" i="3"/>
  <c r="BG30" i="3"/>
  <c r="BG21" i="3"/>
  <c r="BG6" i="3"/>
  <c r="BG60" i="3"/>
  <c r="BG22" i="3"/>
  <c r="BG55" i="3"/>
  <c r="BG61" i="3"/>
  <c r="BG52" i="3"/>
  <c r="BG43" i="3"/>
  <c r="BG58" i="3"/>
  <c r="BG47" i="3"/>
  <c r="AO12" i="3"/>
  <c r="BG50" i="3"/>
  <c r="BG39" i="3"/>
  <c r="BG31" i="3"/>
  <c r="BG34" i="3"/>
  <c r="BG23" i="3"/>
  <c r="BG38" i="3"/>
  <c r="BG29" i="3"/>
  <c r="BG20" i="3"/>
  <c r="BG26" i="3"/>
  <c r="BG15" i="3"/>
  <c r="BG12" i="3"/>
  <c r="BG10" i="3"/>
  <c r="BG62" i="3"/>
  <c r="BG18" i="3"/>
  <c r="BG7" i="3"/>
  <c r="BE36" i="3"/>
  <c r="BE56" i="3"/>
  <c r="BE7" i="3"/>
  <c r="BE29" i="3"/>
  <c r="BE26" i="3"/>
  <c r="S20" i="3"/>
  <c r="AO51" i="3"/>
  <c r="AE39" i="3"/>
  <c r="U7" i="3"/>
  <c r="BE41" i="3"/>
  <c r="BE64" i="3"/>
  <c r="BE18" i="3"/>
  <c r="BE9" i="3"/>
  <c r="BE32" i="3"/>
  <c r="BE13" i="3"/>
  <c r="BE59" i="3"/>
  <c r="BE10" i="3"/>
  <c r="BE53" i="3"/>
  <c r="BE47" i="3"/>
  <c r="BE24" i="3"/>
  <c r="BE62" i="3"/>
  <c r="BE60" i="3"/>
  <c r="BE11" i="3"/>
  <c r="BE57" i="3"/>
  <c r="BE43" i="3"/>
  <c r="BE16" i="3"/>
  <c r="BE39" i="3"/>
  <c r="AW28" i="3"/>
  <c r="BE52" i="3"/>
  <c r="BE49" i="3"/>
  <c r="BE8" i="3"/>
  <c r="BE31" i="3"/>
  <c r="BE21" i="3"/>
  <c r="BE54" i="3"/>
  <c r="BC49" i="3"/>
  <c r="BE58" i="3"/>
  <c r="BE19" i="3"/>
  <c r="BE46" i="3"/>
  <c r="BE44" i="3"/>
  <c r="BE45" i="3"/>
  <c r="BE38" i="3"/>
  <c r="BA34" i="3"/>
  <c r="BC61" i="3"/>
  <c r="BC52" i="3"/>
  <c r="BC43" i="3"/>
  <c r="BC33" i="3"/>
  <c r="BC8" i="3"/>
  <c r="BC10" i="3"/>
  <c r="BE42" i="3"/>
  <c r="BE33" i="3"/>
  <c r="BE51" i="3"/>
  <c r="BE30" i="3"/>
  <c r="BE61" i="3"/>
  <c r="BE34" i="3"/>
  <c r="BE25" i="3"/>
  <c r="BE48" i="3"/>
  <c r="BE27" i="3"/>
  <c r="BE22" i="3"/>
  <c r="E32" i="3"/>
  <c r="BE17" i="3"/>
  <c r="BE40" i="3"/>
  <c r="BE63" i="3"/>
  <c r="BE37" i="3"/>
  <c r="BE14" i="3"/>
  <c r="BC19" i="3"/>
  <c r="BE12" i="3"/>
  <c r="BE55" i="3"/>
  <c r="BE35" i="3"/>
  <c r="BE6" i="3"/>
  <c r="BC21" i="3"/>
  <c r="BC12" i="3"/>
  <c r="BC32" i="3"/>
  <c r="BA42" i="3"/>
  <c r="BC51" i="3"/>
  <c r="BC41" i="3"/>
  <c r="BC16" i="3"/>
  <c r="BC63" i="3"/>
  <c r="BC25" i="3"/>
  <c r="BC45" i="3"/>
  <c r="BC36" i="3"/>
  <c r="BC27" i="3"/>
  <c r="BC17" i="3"/>
  <c r="BC35" i="3"/>
  <c r="BC30" i="3"/>
  <c r="BC56" i="3"/>
  <c r="BC40" i="3"/>
  <c r="BC13" i="3"/>
  <c r="BC26" i="3"/>
  <c r="BC22" i="3"/>
  <c r="BC60" i="3"/>
  <c r="BA32" i="3"/>
  <c r="BA10" i="3"/>
  <c r="BC37" i="3"/>
  <c r="BC28" i="3"/>
  <c r="BC14" i="3"/>
  <c r="BA45" i="3"/>
  <c r="BA43" i="3"/>
  <c r="AI47" i="3"/>
  <c r="BC24" i="3"/>
  <c r="BC53" i="3"/>
  <c r="BC44" i="3"/>
  <c r="BC54" i="3"/>
  <c r="BC64" i="3"/>
  <c r="BC55" i="3"/>
  <c r="BC47" i="3"/>
  <c r="BC9" i="3"/>
  <c r="BC48" i="3"/>
  <c r="BC39" i="3"/>
  <c r="BC29" i="3"/>
  <c r="BC20" i="3"/>
  <c r="BC11" i="3"/>
  <c r="BC38" i="3"/>
  <c r="BC50" i="3"/>
  <c r="BC31" i="3"/>
  <c r="BC62" i="3"/>
  <c r="BC57" i="3"/>
  <c r="BC6" i="3"/>
  <c r="BC42" i="3"/>
  <c r="BC23" i="3"/>
  <c r="BC46" i="3"/>
  <c r="BC58" i="3"/>
  <c r="BC15" i="3"/>
  <c r="BA19" i="3"/>
  <c r="BC34" i="3"/>
  <c r="BC18" i="3"/>
  <c r="BC7" i="3"/>
  <c r="BA61" i="3"/>
  <c r="BA24" i="3"/>
  <c r="BA35" i="3"/>
  <c r="BA27" i="3"/>
  <c r="K49" i="3"/>
  <c r="BA38" i="3"/>
  <c r="BA12" i="3"/>
  <c r="BA26" i="3"/>
  <c r="BA59" i="3"/>
  <c r="AY27" i="3"/>
  <c r="AO13" i="3"/>
  <c r="AY7" i="3"/>
  <c r="BA8" i="3"/>
  <c r="BA16" i="3"/>
  <c r="BA22" i="3"/>
  <c r="BA20" i="3"/>
  <c r="BA51" i="3"/>
  <c r="BA28" i="3"/>
  <c r="AY34" i="3"/>
  <c r="BA57" i="3"/>
  <c r="BA55" i="3"/>
  <c r="BA29" i="3"/>
  <c r="BA63" i="3"/>
  <c r="BA14" i="3"/>
  <c r="O53" i="3"/>
  <c r="BA54" i="3"/>
  <c r="BA11" i="3"/>
  <c r="BA48" i="3"/>
  <c r="BA6" i="3"/>
  <c r="BA40" i="3"/>
  <c r="BA18" i="3"/>
  <c r="BA58" i="3"/>
  <c r="BA49" i="3"/>
  <c r="BA39" i="3"/>
  <c r="BA13" i="3"/>
  <c r="BA47" i="3"/>
  <c r="BA53" i="3"/>
  <c r="BA50" i="3"/>
  <c r="BA41" i="3"/>
  <c r="BA15" i="3"/>
  <c r="BA52" i="3"/>
  <c r="BA31" i="3"/>
  <c r="BA37" i="3"/>
  <c r="BA33" i="3"/>
  <c r="AY57" i="3"/>
  <c r="AY16" i="3"/>
  <c r="AY39" i="3"/>
  <c r="BA36" i="3"/>
  <c r="BA23" i="3"/>
  <c r="BA21" i="3"/>
  <c r="BA25" i="3"/>
  <c r="AI44" i="3"/>
  <c r="BA64" i="3"/>
  <c r="BA56" i="3"/>
  <c r="BA62" i="3"/>
  <c r="BA60" i="3"/>
  <c r="BA17" i="3"/>
  <c r="AY41" i="3"/>
  <c r="AY64" i="3"/>
  <c r="AY23" i="3"/>
  <c r="BA46" i="3"/>
  <c r="BA44" i="3"/>
  <c r="BA9" i="3"/>
  <c r="BA30" i="3"/>
  <c r="BA7" i="3"/>
  <c r="AY29" i="3"/>
  <c r="AW48" i="3"/>
  <c r="AY10" i="3"/>
  <c r="AY53" i="3"/>
  <c r="AY43" i="3"/>
  <c r="AY31" i="3"/>
  <c r="AY37" i="3"/>
  <c r="AY33" i="3"/>
  <c r="AY56" i="3"/>
  <c r="AY15" i="3"/>
  <c r="AY48" i="3"/>
  <c r="AU7" i="3"/>
  <c r="AY12" i="3"/>
  <c r="AY18" i="3"/>
  <c r="AY20" i="3"/>
  <c r="AY62" i="3"/>
  <c r="AY51" i="3"/>
  <c r="AY42" i="3"/>
  <c r="AW42" i="3"/>
  <c r="AY28" i="3"/>
  <c r="AY45" i="3"/>
  <c r="AY9" i="3"/>
  <c r="AY32" i="3"/>
  <c r="AY55" i="3"/>
  <c r="AY59" i="3"/>
  <c r="AY24" i="3"/>
  <c r="AY47" i="3"/>
  <c r="AY21" i="3"/>
  <c r="AY58" i="3"/>
  <c r="AY49" i="3"/>
  <c r="AY44" i="3"/>
  <c r="AY8" i="3"/>
  <c r="AY54" i="3"/>
  <c r="AY35" i="3"/>
  <c r="AY50" i="3"/>
  <c r="AY46" i="3"/>
  <c r="AY52" i="3"/>
  <c r="AY38" i="3"/>
  <c r="AW52" i="3"/>
  <c r="AY19" i="3"/>
  <c r="AY25" i="3"/>
  <c r="AY30" i="3"/>
  <c r="AY11" i="3"/>
  <c r="AY26" i="3"/>
  <c r="AY17" i="3"/>
  <c r="AY40" i="3"/>
  <c r="AY63" i="3"/>
  <c r="AY61" i="3"/>
  <c r="AY22" i="3"/>
  <c r="AY13" i="3"/>
  <c r="AY14" i="3"/>
  <c r="AY60" i="3"/>
  <c r="AY36" i="3"/>
  <c r="AY6" i="3"/>
  <c r="AW21" i="3"/>
  <c r="AW13" i="3"/>
  <c r="AW58" i="3"/>
  <c r="AW33" i="3"/>
  <c r="AW45" i="3"/>
  <c r="AW35" i="3"/>
  <c r="AW18" i="3"/>
  <c r="AW10" i="3"/>
  <c r="AW11" i="3"/>
  <c r="AW30" i="3"/>
  <c r="AW61" i="3"/>
  <c r="AW59" i="3"/>
  <c r="AW34" i="3"/>
  <c r="AU60" i="3"/>
  <c r="AU64" i="3"/>
  <c r="AW26" i="3"/>
  <c r="AW14" i="3"/>
  <c r="AW47" i="3"/>
  <c r="AU43" i="3"/>
  <c r="AU34" i="3"/>
  <c r="AW38" i="3"/>
  <c r="AW55" i="3"/>
  <c r="AW29" i="3"/>
  <c r="AW19" i="3"/>
  <c r="AW41" i="3"/>
  <c r="AW25" i="3"/>
  <c r="E8" i="3"/>
  <c r="AW22" i="3"/>
  <c r="AW50" i="3"/>
  <c r="AW62" i="3"/>
  <c r="AW63" i="3"/>
  <c r="AW53" i="3"/>
  <c r="AW43" i="3"/>
  <c r="AW37" i="3"/>
  <c r="AW27" i="3"/>
  <c r="AW51" i="3"/>
  <c r="AW39" i="3"/>
  <c r="AW57" i="3"/>
  <c r="AW31" i="3"/>
  <c r="AU36" i="3"/>
  <c r="AU40" i="3"/>
  <c r="AU47" i="3"/>
  <c r="AW54" i="3"/>
  <c r="AW49" i="3"/>
  <c r="AW23" i="3"/>
  <c r="AW46" i="3"/>
  <c r="AW15" i="3"/>
  <c r="AU27" i="3"/>
  <c r="AU18" i="3"/>
  <c r="AW60" i="3"/>
  <c r="AW6" i="3"/>
  <c r="AW17" i="3"/>
  <c r="AW7" i="3"/>
  <c r="AU13" i="3"/>
  <c r="AU61" i="3"/>
  <c r="AU11" i="3"/>
  <c r="AU57" i="3"/>
  <c r="AU8" i="3"/>
  <c r="AU15" i="3"/>
  <c r="AU17" i="3"/>
  <c r="AU20" i="3"/>
  <c r="AU24" i="3"/>
  <c r="AU31" i="3"/>
  <c r="AU25" i="3"/>
  <c r="AU32" i="3"/>
  <c r="AU39" i="3"/>
  <c r="AS10" i="3"/>
  <c r="AU50" i="3"/>
  <c r="AU22" i="3"/>
  <c r="AU48" i="3"/>
  <c r="AU55" i="3"/>
  <c r="AU35" i="3"/>
  <c r="AU26" i="3"/>
  <c r="AQ47" i="3"/>
  <c r="AS59" i="3"/>
  <c r="AS24" i="3"/>
  <c r="AS20" i="3"/>
  <c r="AS29" i="3"/>
  <c r="AU45" i="3"/>
  <c r="AU49" i="3"/>
  <c r="AS41" i="3"/>
  <c r="AS64" i="3"/>
  <c r="AU52" i="3"/>
  <c r="AU41" i="3"/>
  <c r="AU56" i="3"/>
  <c r="AU63" i="3"/>
  <c r="AS56" i="3"/>
  <c r="AS15" i="3"/>
  <c r="AU44" i="3"/>
  <c r="AU51" i="3"/>
  <c r="AU42" i="3"/>
  <c r="AU33" i="3"/>
  <c r="AU62" i="3"/>
  <c r="AS7" i="3"/>
  <c r="AU54" i="3"/>
  <c r="AU28" i="3"/>
  <c r="AU46" i="3"/>
  <c r="AU9" i="3"/>
  <c r="AU38" i="3"/>
  <c r="AS47" i="3"/>
  <c r="AU12" i="3"/>
  <c r="AU19" i="3"/>
  <c r="AU10" i="3"/>
  <c r="AU53" i="3"/>
  <c r="AU16" i="3"/>
  <c r="AU23" i="3"/>
  <c r="AU30" i="3"/>
  <c r="AU21" i="3"/>
  <c r="AU37" i="3"/>
  <c r="AU14" i="3"/>
  <c r="AS50" i="3"/>
  <c r="AU58" i="3"/>
  <c r="AU29" i="3"/>
  <c r="AU6" i="3"/>
  <c r="U31" i="3"/>
  <c r="Y12" i="3"/>
  <c r="AS53" i="3"/>
  <c r="C52" i="3"/>
  <c r="AS9" i="3"/>
  <c r="AS32" i="3"/>
  <c r="AS45" i="3"/>
  <c r="AS23" i="3"/>
  <c r="AS58" i="3"/>
  <c r="AS49" i="3"/>
  <c r="AS8" i="3"/>
  <c r="AS31" i="3"/>
  <c r="AQ23" i="3"/>
  <c r="AS35" i="3"/>
  <c r="AO9" i="3"/>
  <c r="AO16" i="3"/>
  <c r="AQ19" i="3"/>
  <c r="AS13" i="3"/>
  <c r="AS26" i="3"/>
  <c r="AS17" i="3"/>
  <c r="AS40" i="3"/>
  <c r="AQ59" i="3"/>
  <c r="AS55" i="3"/>
  <c r="AO43" i="3"/>
  <c r="AQ41" i="3"/>
  <c r="AS51" i="3"/>
  <c r="AS39" i="3"/>
  <c r="AQ25" i="3"/>
  <c r="AQ45" i="3"/>
  <c r="AS27" i="3"/>
  <c r="AS42" i="3"/>
  <c r="AS33" i="3"/>
  <c r="AS12" i="3"/>
  <c r="AS18" i="3"/>
  <c r="AS60" i="3"/>
  <c r="AS61" i="3"/>
  <c r="AS62" i="3"/>
  <c r="AS57" i="3"/>
  <c r="AS16" i="3"/>
  <c r="AS54" i="3"/>
  <c r="AS43" i="3"/>
  <c r="AS44" i="3"/>
  <c r="AS46" i="3"/>
  <c r="AS38" i="3"/>
  <c r="AS52" i="3"/>
  <c r="AS30" i="3"/>
  <c r="AS19" i="3"/>
  <c r="AS34" i="3"/>
  <c r="AS25" i="3"/>
  <c r="AS48" i="3"/>
  <c r="AS28" i="3"/>
  <c r="AS22" i="3"/>
  <c r="AS11" i="3"/>
  <c r="AS63" i="3"/>
  <c r="AS21" i="3"/>
  <c r="AS14" i="3"/>
  <c r="AS36" i="3"/>
  <c r="AS6" i="3"/>
  <c r="AQ52" i="3"/>
  <c r="AQ31" i="3"/>
  <c r="AQ27" i="3"/>
  <c r="AQ28" i="3"/>
  <c r="AQ9" i="3"/>
  <c r="AQ40" i="3"/>
  <c r="AQ44" i="3"/>
  <c r="AQ7" i="3"/>
  <c r="AQ24" i="3"/>
  <c r="AQ37" i="3"/>
  <c r="AQ48" i="3"/>
  <c r="AQ50" i="3"/>
  <c r="AQ15" i="3"/>
  <c r="AQ62" i="3"/>
  <c r="AM48" i="3"/>
  <c r="AO58" i="3"/>
  <c r="AO8" i="3"/>
  <c r="AO15" i="3"/>
  <c r="AQ55" i="3"/>
  <c r="E40" i="3"/>
  <c r="AQ33" i="3"/>
  <c r="AQ8" i="3"/>
  <c r="AQ39" i="3"/>
  <c r="AQ64" i="3"/>
  <c r="AQ34" i="3"/>
  <c r="AQ14" i="3"/>
  <c r="AQ56" i="3"/>
  <c r="AQ20" i="3"/>
  <c r="AQ53" i="3"/>
  <c r="AQ10" i="3"/>
  <c r="AQ54" i="3"/>
  <c r="AQ12" i="3"/>
  <c r="AQ57" i="3"/>
  <c r="AQ21" i="3"/>
  <c r="AQ32" i="3"/>
  <c r="AQ63" i="3"/>
  <c r="AQ61" i="3"/>
  <c r="AQ46" i="3"/>
  <c r="AQ49" i="3"/>
  <c r="AQ29" i="3"/>
  <c r="AQ38" i="3"/>
  <c r="AQ51" i="3"/>
  <c r="AQ42" i="3"/>
  <c r="AQ16" i="3"/>
  <c r="AQ60" i="3"/>
  <c r="AQ30" i="3"/>
  <c r="AQ43" i="3"/>
  <c r="AQ18" i="3"/>
  <c r="AQ58" i="3"/>
  <c r="AQ22" i="3"/>
  <c r="AO17" i="3"/>
  <c r="AO24" i="3"/>
  <c r="AO31" i="3"/>
  <c r="AQ36" i="3"/>
  <c r="AQ17" i="3"/>
  <c r="AQ13" i="3"/>
  <c r="AQ26" i="3"/>
  <c r="AQ6" i="3"/>
  <c r="AI7" i="3"/>
  <c r="U40" i="3"/>
  <c r="Y20" i="3"/>
  <c r="AM24" i="3"/>
  <c r="AO41" i="3"/>
  <c r="AO48" i="3"/>
  <c r="AO55" i="3"/>
  <c r="S52" i="3"/>
  <c r="AM19" i="3"/>
  <c r="AO32" i="3"/>
  <c r="AO39" i="3"/>
  <c r="AO19" i="3"/>
  <c r="AO11" i="3"/>
  <c r="AO23" i="3"/>
  <c r="AK29" i="3"/>
  <c r="AM35" i="3"/>
  <c r="AO62" i="3"/>
  <c r="AM16" i="3"/>
  <c r="AO35" i="3"/>
  <c r="AO33" i="3"/>
  <c r="AO40" i="3"/>
  <c r="AO47" i="3"/>
  <c r="AM14" i="3"/>
  <c r="AK44" i="3"/>
  <c r="AO26" i="3"/>
  <c r="AO57" i="3"/>
  <c r="AO64" i="3"/>
  <c r="AO7" i="3"/>
  <c r="AO54" i="3"/>
  <c r="AO27" i="3"/>
  <c r="AO25" i="3"/>
  <c r="AO46" i="3"/>
  <c r="AO38" i="3"/>
  <c r="AM12" i="3"/>
  <c r="AO30" i="3"/>
  <c r="AK7" i="3"/>
  <c r="AM61" i="3"/>
  <c r="AO18" i="3"/>
  <c r="AO10" i="3"/>
  <c r="AO34" i="3"/>
  <c r="AO22" i="3"/>
  <c r="AO59" i="3"/>
  <c r="AO42" i="3"/>
  <c r="AO14" i="3"/>
  <c r="AO49" i="3"/>
  <c r="AO56" i="3"/>
  <c r="AO63" i="3"/>
  <c r="AO50" i="3"/>
  <c r="AO6" i="3"/>
  <c r="AM54" i="3"/>
  <c r="AM28" i="3"/>
  <c r="AM8" i="3"/>
  <c r="AM45" i="3"/>
  <c r="AM59" i="3"/>
  <c r="AM43" i="3"/>
  <c r="AK42" i="3"/>
  <c r="AK64" i="3"/>
  <c r="AM38" i="3"/>
  <c r="AK52" i="3"/>
  <c r="AK15" i="3"/>
  <c r="AM22" i="3"/>
  <c r="AM63" i="3"/>
  <c r="AM56" i="3"/>
  <c r="AM30" i="3"/>
  <c r="Y28" i="3"/>
  <c r="O52" i="3"/>
  <c r="AM52" i="3"/>
  <c r="AM32" i="3"/>
  <c r="AK33" i="3"/>
  <c r="AM27" i="3"/>
  <c r="AK53" i="3"/>
  <c r="AK19" i="3"/>
  <c r="AM6" i="3"/>
  <c r="AM55" i="3"/>
  <c r="AM29" i="3"/>
  <c r="AM51" i="3"/>
  <c r="AM21" i="3"/>
  <c r="AM40" i="3"/>
  <c r="AM37" i="3"/>
  <c r="AM47" i="3"/>
  <c r="AM60" i="3"/>
  <c r="AM13" i="3"/>
  <c r="AM39" i="3"/>
  <c r="AK50" i="3"/>
  <c r="AK16" i="3"/>
  <c r="AM44" i="3"/>
  <c r="AM50" i="3"/>
  <c r="AM58" i="3"/>
  <c r="AM31" i="3"/>
  <c r="AK12" i="3"/>
  <c r="AM53" i="3"/>
  <c r="AM36" i="3"/>
  <c r="AM34" i="3"/>
  <c r="AM42" i="3"/>
  <c r="AM23" i="3"/>
  <c r="AM10" i="3"/>
  <c r="AM26" i="3"/>
  <c r="AM15" i="3"/>
  <c r="AK26" i="3"/>
  <c r="AK56" i="3"/>
  <c r="AM20" i="3"/>
  <c r="AM11" i="3"/>
  <c r="AM46" i="3"/>
  <c r="AM64" i="3"/>
  <c r="AM62" i="3"/>
  <c r="AM18" i="3"/>
  <c r="AM7" i="3"/>
  <c r="AI36" i="3"/>
  <c r="AI57" i="3"/>
  <c r="AK39" i="3"/>
  <c r="AK37" i="3"/>
  <c r="AK47" i="3"/>
  <c r="AK62" i="3"/>
  <c r="AK20" i="3"/>
  <c r="AK8" i="3"/>
  <c r="AK54" i="3"/>
  <c r="AK31" i="3"/>
  <c r="AK23" i="3"/>
  <c r="AK60" i="3"/>
  <c r="AK35" i="3"/>
  <c r="AK45" i="3"/>
  <c r="AK11" i="3"/>
  <c r="AK32" i="3"/>
  <c r="AI16" i="3"/>
  <c r="AK28" i="3"/>
  <c r="AK21" i="3"/>
  <c r="AK17" i="3"/>
  <c r="AK13" i="3"/>
  <c r="AK59" i="3"/>
  <c r="AK34" i="3"/>
  <c r="AK61" i="3"/>
  <c r="AK46" i="3"/>
  <c r="AK43" i="3"/>
  <c r="AK38" i="3"/>
  <c r="AK27" i="3"/>
  <c r="AK18" i="3"/>
  <c r="AK48" i="3"/>
  <c r="AK49" i="3"/>
  <c r="AK30" i="3"/>
  <c r="AK40" i="3"/>
  <c r="AK9" i="3"/>
  <c r="AK22" i="3"/>
  <c r="AK36" i="3"/>
  <c r="AK51" i="3"/>
  <c r="AK63" i="3"/>
  <c r="AK41" i="3"/>
  <c r="AK14" i="3"/>
  <c r="AI45" i="3"/>
  <c r="AK57" i="3"/>
  <c r="AK24" i="3"/>
  <c r="AK55" i="3"/>
  <c r="AK25" i="3"/>
  <c r="AK6" i="3"/>
  <c r="AI29" i="3"/>
  <c r="AI34" i="3"/>
  <c r="AI40" i="3"/>
  <c r="AI10" i="3"/>
  <c r="AI19" i="3"/>
  <c r="AI8" i="3"/>
  <c r="AI42" i="3"/>
  <c r="AI21" i="3"/>
  <c r="AI12" i="3"/>
  <c r="AI26" i="3"/>
  <c r="AI17" i="3"/>
  <c r="AI62" i="3"/>
  <c r="AI9" i="3"/>
  <c r="AI32" i="3"/>
  <c r="AI54" i="3"/>
  <c r="AI60" i="3"/>
  <c r="AI51" i="3"/>
  <c r="AI24" i="3"/>
  <c r="AI46" i="3"/>
  <c r="AI38" i="3"/>
  <c r="AG27" i="3"/>
  <c r="AI58" i="3"/>
  <c r="AI43" i="3"/>
  <c r="AI49" i="3"/>
  <c r="AI30" i="3"/>
  <c r="AI13" i="3"/>
  <c r="AI61" i="3"/>
  <c r="AI18" i="3"/>
  <c r="AI27" i="3"/>
  <c r="AI52" i="3"/>
  <c r="AI11" i="3"/>
  <c r="AG21" i="3"/>
  <c r="AI53" i="3"/>
  <c r="AI50" i="3"/>
  <c r="AI64" i="3"/>
  <c r="AI59" i="3"/>
  <c r="AI22" i="3"/>
  <c r="AG52" i="3"/>
  <c r="AG37" i="3"/>
  <c r="AG11" i="3"/>
  <c r="AG25" i="3"/>
  <c r="AG7" i="3"/>
  <c r="AG46" i="3"/>
  <c r="AI37" i="3"/>
  <c r="AI28" i="3"/>
  <c r="AI33" i="3"/>
  <c r="AI56" i="3"/>
  <c r="AI35" i="3"/>
  <c r="AI14" i="3"/>
  <c r="AI20" i="3"/>
  <c r="AI25" i="3"/>
  <c r="AI48" i="3"/>
  <c r="AI41" i="3"/>
  <c r="AI6" i="3"/>
  <c r="AG48" i="3"/>
  <c r="AG50" i="3"/>
  <c r="AG34" i="3"/>
  <c r="AG23" i="3"/>
  <c r="AG58" i="3"/>
  <c r="AG60" i="3"/>
  <c r="AG19" i="3"/>
  <c r="AG10" i="3"/>
  <c r="AG31" i="3"/>
  <c r="AG15" i="3"/>
  <c r="AG42" i="3"/>
  <c r="AG33" i="3"/>
  <c r="AG39" i="3"/>
  <c r="AG54" i="3"/>
  <c r="AG36" i="3"/>
  <c r="AG59" i="3"/>
  <c r="AG18" i="3"/>
  <c r="AG9" i="3"/>
  <c r="AG45" i="3"/>
  <c r="AG63" i="3"/>
  <c r="AG57" i="3"/>
  <c r="C41" i="3"/>
  <c r="E56" i="3"/>
  <c r="AG40" i="3"/>
  <c r="AG41" i="3"/>
  <c r="AG8" i="3"/>
  <c r="AG62" i="3"/>
  <c r="AG61" i="3"/>
  <c r="U48" i="3"/>
  <c r="AG44" i="3"/>
  <c r="AG13" i="3"/>
  <c r="AG56" i="3"/>
  <c r="AG26" i="3"/>
  <c r="AG17" i="3"/>
  <c r="AG32" i="3"/>
  <c r="AG38" i="3"/>
  <c r="AG55" i="3"/>
  <c r="AG47" i="3"/>
  <c r="AG30" i="3"/>
  <c r="AG28" i="3"/>
  <c r="AG51" i="3"/>
  <c r="AG64" i="3"/>
  <c r="AG22" i="3"/>
  <c r="AG20" i="3"/>
  <c r="AG43" i="3"/>
  <c r="AG29" i="3"/>
  <c r="AG14" i="3"/>
  <c r="AG53" i="3"/>
  <c r="AG12" i="3"/>
  <c r="AG35" i="3"/>
  <c r="AG49" i="3"/>
  <c r="AG6" i="3"/>
  <c r="AE12" i="3"/>
  <c r="AE34" i="3"/>
  <c r="AE7" i="3"/>
  <c r="AE21" i="3"/>
  <c r="AE10" i="3"/>
  <c r="AE24" i="3"/>
  <c r="AE57" i="3"/>
  <c r="AE36" i="3"/>
  <c r="AE43" i="3"/>
  <c r="AE41" i="3"/>
  <c r="AE20" i="3"/>
  <c r="AE27" i="3"/>
  <c r="AE55" i="3"/>
  <c r="AE60" i="3"/>
  <c r="AE18" i="3"/>
  <c r="AE32" i="3"/>
  <c r="AE15" i="3"/>
  <c r="AE52" i="3"/>
  <c r="AE47" i="3"/>
  <c r="AE62" i="3"/>
  <c r="AE59" i="3"/>
  <c r="AE37" i="3"/>
  <c r="AC35" i="3"/>
  <c r="AE50" i="3"/>
  <c r="U16" i="3"/>
  <c r="AC31" i="3"/>
  <c r="AE53" i="3"/>
  <c r="AE25" i="3"/>
  <c r="AE48" i="3"/>
  <c r="AE22" i="3"/>
  <c r="E24" i="3"/>
  <c r="AE9" i="3"/>
  <c r="AE44" i="3"/>
  <c r="AE61" i="3"/>
  <c r="AE16" i="3"/>
  <c r="AE54" i="3"/>
  <c r="AE51" i="3"/>
  <c r="AE58" i="3"/>
  <c r="AE49" i="3"/>
  <c r="AE29" i="3"/>
  <c r="AE8" i="3"/>
  <c r="AE46" i="3"/>
  <c r="AE28" i="3"/>
  <c r="AE64" i="3"/>
  <c r="AE38" i="3"/>
  <c r="AE35" i="3"/>
  <c r="AE42" i="3"/>
  <c r="AE33" i="3"/>
  <c r="AE56" i="3"/>
  <c r="AE23" i="3"/>
  <c r="AE30" i="3"/>
  <c r="AC20" i="3"/>
  <c r="AC11" i="3"/>
  <c r="AC40" i="3"/>
  <c r="AC15" i="3"/>
  <c r="AE13" i="3"/>
  <c r="AE19" i="3"/>
  <c r="AE26" i="3"/>
  <c r="AE17" i="3"/>
  <c r="AE40" i="3"/>
  <c r="AE31" i="3"/>
  <c r="AE14" i="3"/>
  <c r="AC7" i="3"/>
  <c r="AE45" i="3"/>
  <c r="AE11" i="3"/>
  <c r="AE6" i="3"/>
  <c r="AA28" i="3"/>
  <c r="AA11" i="3"/>
  <c r="AA34" i="3"/>
  <c r="AA25" i="3"/>
  <c r="AA8" i="3"/>
  <c r="AC49" i="3"/>
  <c r="AC24" i="3"/>
  <c r="AC45" i="3"/>
  <c r="AC41" i="3"/>
  <c r="AC16" i="3"/>
  <c r="AC55" i="3"/>
  <c r="AC58" i="3"/>
  <c r="AC43" i="3"/>
  <c r="AC10" i="3"/>
  <c r="AC47" i="3"/>
  <c r="AC39" i="3"/>
  <c r="AA57" i="3"/>
  <c r="AC36" i="3"/>
  <c r="AC27" i="3"/>
  <c r="AC50" i="3"/>
  <c r="AC22" i="3"/>
  <c r="AC21" i="3"/>
  <c r="AC25" i="3"/>
  <c r="AC53" i="3"/>
  <c r="AC29" i="3"/>
  <c r="AC62" i="3"/>
  <c r="AC19" i="3"/>
  <c r="AA41" i="3"/>
  <c r="AC61" i="3"/>
  <c r="AC33" i="3"/>
  <c r="AC8" i="3"/>
  <c r="AC64" i="3"/>
  <c r="AC17" i="3"/>
  <c r="AC56" i="3"/>
  <c r="AA58" i="3"/>
  <c r="AA48" i="3"/>
  <c r="AC28" i="3"/>
  <c r="AC9" i="3"/>
  <c r="AC48" i="3"/>
  <c r="AC52" i="3"/>
  <c r="AC23" i="3"/>
  <c r="AC54" i="3"/>
  <c r="AC42" i="3"/>
  <c r="AC46" i="3"/>
  <c r="AC12" i="3"/>
  <c r="AC57" i="3"/>
  <c r="AC37" i="3"/>
  <c r="AC32" i="3"/>
  <c r="AC18" i="3"/>
  <c r="AC38" i="3"/>
  <c r="W22" i="3"/>
  <c r="W40" i="3"/>
  <c r="AC59" i="3"/>
  <c r="AC60" i="3"/>
  <c r="AC63" i="3"/>
  <c r="AC13" i="3"/>
  <c r="AC30" i="3"/>
  <c r="AC34" i="3"/>
  <c r="AC14" i="3"/>
  <c r="AC44" i="3"/>
  <c r="AC26" i="3"/>
  <c r="AC6" i="3"/>
  <c r="AA42" i="3"/>
  <c r="AA33" i="3"/>
  <c r="Y18" i="3"/>
  <c r="AA31" i="3"/>
  <c r="AA23" i="3"/>
  <c r="AA52" i="3"/>
  <c r="AA64" i="3"/>
  <c r="AA15" i="3"/>
  <c r="AA7" i="3"/>
  <c r="AA18" i="3"/>
  <c r="AA24" i="3"/>
  <c r="AA55" i="3"/>
  <c r="AA27" i="3"/>
  <c r="AA44" i="3"/>
  <c r="Y11" i="3"/>
  <c r="Y9" i="3"/>
  <c r="Y16" i="3"/>
  <c r="Y23" i="3"/>
  <c r="AA62" i="3"/>
  <c r="Y8" i="3"/>
  <c r="Y15" i="3"/>
  <c r="AA10" i="3"/>
  <c r="W8" i="3"/>
  <c r="Y50" i="3"/>
  <c r="AA60" i="3"/>
  <c r="AA47" i="3"/>
  <c r="AA19" i="3"/>
  <c r="AA16" i="3"/>
  <c r="AA39" i="3"/>
  <c r="AA20" i="3"/>
  <c r="AA37" i="3"/>
  <c r="AA26" i="3"/>
  <c r="AA17" i="3"/>
  <c r="AA13" i="3"/>
  <c r="AA54" i="3"/>
  <c r="AA59" i="3"/>
  <c r="AA9" i="3"/>
  <c r="AA46" i="3"/>
  <c r="AA51" i="3"/>
  <c r="AA36" i="3"/>
  <c r="AA61" i="3"/>
  <c r="AA38" i="3"/>
  <c r="AA43" i="3"/>
  <c r="AA12" i="3"/>
  <c r="AA29" i="3"/>
  <c r="AA63" i="3"/>
  <c r="AA53" i="3"/>
  <c r="AA30" i="3"/>
  <c r="AA45" i="3"/>
  <c r="AA35" i="3"/>
  <c r="AA21" i="3"/>
  <c r="AA22" i="3"/>
  <c r="Y27" i="3"/>
  <c r="AA50" i="3"/>
  <c r="AA32" i="3"/>
  <c r="AA56" i="3"/>
  <c r="AA14" i="3"/>
  <c r="AA40" i="3"/>
  <c r="AA6" i="3"/>
  <c r="Y33" i="3"/>
  <c r="Y40" i="3"/>
  <c r="Y47" i="3"/>
  <c r="Y25" i="3"/>
  <c r="Y32" i="3"/>
  <c r="Y39" i="3"/>
  <c r="W36" i="3"/>
  <c r="W19" i="3"/>
  <c r="Y61" i="3"/>
  <c r="Y59" i="3"/>
  <c r="Y57" i="3"/>
  <c r="Y64" i="3"/>
  <c r="Y7" i="3"/>
  <c r="Y43" i="3"/>
  <c r="Y41" i="3"/>
  <c r="Y48" i="3"/>
  <c r="Y55" i="3"/>
  <c r="S12" i="3"/>
  <c r="W9" i="3"/>
  <c r="Y34" i="3"/>
  <c r="W35" i="3"/>
  <c r="U10" i="3"/>
  <c r="Y30" i="3"/>
  <c r="Y29" i="3"/>
  <c r="Y45" i="3"/>
  <c r="Y22" i="3"/>
  <c r="Y58" i="3"/>
  <c r="Y56" i="3"/>
  <c r="Y62" i="3"/>
  <c r="Y35" i="3"/>
  <c r="Y42" i="3"/>
  <c r="Y54" i="3"/>
  <c r="Y46" i="3"/>
  <c r="Y19" i="3"/>
  <c r="Y26" i="3"/>
  <c r="Y17" i="3"/>
  <c r="Y24" i="3"/>
  <c r="Y31" i="3"/>
  <c r="Y38" i="3"/>
  <c r="Y13" i="3"/>
  <c r="Y10" i="3"/>
  <c r="Y21" i="3"/>
  <c r="Y37" i="3"/>
  <c r="Y14" i="3"/>
  <c r="Y51" i="3"/>
  <c r="Y49" i="3"/>
  <c r="Y63" i="3"/>
  <c r="Y53" i="3"/>
  <c r="Y6" i="3"/>
  <c r="W34" i="3"/>
  <c r="W44" i="3"/>
  <c r="W27" i="3"/>
  <c r="W57" i="3"/>
  <c r="W61" i="3"/>
  <c r="W24" i="3"/>
  <c r="W47" i="3"/>
  <c r="W50" i="3"/>
  <c r="W16" i="3"/>
  <c r="W37" i="3"/>
  <c r="W20" i="3"/>
  <c r="W58" i="3"/>
  <c r="W54" i="3"/>
  <c r="W56" i="3"/>
  <c r="W6" i="3"/>
  <c r="W10" i="3"/>
  <c r="W63" i="3"/>
  <c r="W14" i="3"/>
  <c r="W32" i="3"/>
  <c r="W52" i="3"/>
  <c r="W53" i="3"/>
  <c r="W55" i="3"/>
  <c r="W28" i="3"/>
  <c r="W11" i="3"/>
  <c r="W41" i="3"/>
  <c r="W45" i="3"/>
  <c r="W21" i="3"/>
  <c r="W25" i="3"/>
  <c r="W39" i="3"/>
  <c r="U42" i="3"/>
  <c r="W29" i="3"/>
  <c r="W12" i="3"/>
  <c r="W59" i="3"/>
  <c r="W42" i="3"/>
  <c r="W31" i="3"/>
  <c r="S10" i="3"/>
  <c r="W13" i="3"/>
  <c r="W62" i="3"/>
  <c r="W51" i="3"/>
  <c r="W64" i="3"/>
  <c r="W49" i="3"/>
  <c r="W23" i="3"/>
  <c r="S54" i="3"/>
  <c r="U51" i="3"/>
  <c r="U29" i="3"/>
  <c r="W60" i="3"/>
  <c r="W46" i="3"/>
  <c r="W43" i="3"/>
  <c r="W26" i="3"/>
  <c r="W33" i="3"/>
  <c r="W15" i="3"/>
  <c r="U9" i="3"/>
  <c r="W38" i="3"/>
  <c r="W30" i="3"/>
  <c r="W48" i="3"/>
  <c r="W17" i="3"/>
  <c r="W7" i="3"/>
  <c r="U21" i="3"/>
  <c r="U58" i="3"/>
  <c r="U11" i="3"/>
  <c r="U25" i="3"/>
  <c r="E64" i="3"/>
  <c r="U55" i="3"/>
  <c r="U26" i="3"/>
  <c r="K9" i="3"/>
  <c r="U35" i="3"/>
  <c r="S32" i="3"/>
  <c r="U37" i="3"/>
  <c r="U57" i="3"/>
  <c r="S27" i="3"/>
  <c r="U19" i="3"/>
  <c r="U44" i="3"/>
  <c r="U41" i="3"/>
  <c r="U12" i="3"/>
  <c r="U61" i="3"/>
  <c r="U33" i="3"/>
  <c r="S8" i="3"/>
  <c r="U45" i="3"/>
  <c r="U47" i="3"/>
  <c r="U49" i="3"/>
  <c r="U52" i="3"/>
  <c r="U62" i="3"/>
  <c r="U59" i="3"/>
  <c r="U34" i="3"/>
  <c r="U54" i="3"/>
  <c r="U17" i="3"/>
  <c r="U46" i="3"/>
  <c r="Q7" i="3"/>
  <c r="U43" i="3"/>
  <c r="U60" i="3"/>
  <c r="U18" i="3"/>
  <c r="U38" i="3"/>
  <c r="S22" i="3"/>
  <c r="S40" i="3"/>
  <c r="U36" i="3"/>
  <c r="U53" i="3"/>
  <c r="U30" i="3"/>
  <c r="S25" i="3"/>
  <c r="U27" i="3"/>
  <c r="U20" i="3"/>
  <c r="U13" i="3"/>
  <c r="U22" i="3"/>
  <c r="U14" i="3"/>
  <c r="U50" i="3"/>
  <c r="U28" i="3"/>
  <c r="U6" i="3"/>
  <c r="S50" i="3"/>
  <c r="S21" i="3"/>
  <c r="Q56" i="3"/>
  <c r="S17" i="3"/>
  <c r="S57" i="3"/>
  <c r="O29" i="3"/>
  <c r="S38" i="3"/>
  <c r="S62" i="3"/>
  <c r="S51" i="3"/>
  <c r="S41" i="3"/>
  <c r="S48" i="3"/>
  <c r="S46" i="3"/>
  <c r="S43" i="3"/>
  <c r="S33" i="3"/>
  <c r="Q13" i="3"/>
  <c r="S29" i="3"/>
  <c r="S37" i="3"/>
  <c r="Q40" i="3"/>
  <c r="S26" i="3"/>
  <c r="Q15" i="3"/>
  <c r="S63" i="3"/>
  <c r="S55" i="3"/>
  <c r="S14" i="3"/>
  <c r="S30" i="3"/>
  <c r="S35" i="3"/>
  <c r="S47" i="3"/>
  <c r="Q34" i="3"/>
  <c r="S61" i="3"/>
  <c r="S6" i="3"/>
  <c r="S24" i="3"/>
  <c r="S39" i="3"/>
  <c r="S45" i="3"/>
  <c r="S53" i="3"/>
  <c r="S19" i="3"/>
  <c r="S9" i="3"/>
  <c r="S16" i="3"/>
  <c r="S31" i="3"/>
  <c r="S42" i="3"/>
  <c r="S11" i="3"/>
  <c r="S58" i="3"/>
  <c r="S23" i="3"/>
  <c r="S13" i="3"/>
  <c r="S34" i="3"/>
  <c r="S15" i="3"/>
  <c r="S18" i="3"/>
  <c r="S59" i="3"/>
  <c r="S49" i="3"/>
  <c r="S56" i="3"/>
  <c r="S64" i="3"/>
  <c r="S7" i="3"/>
  <c r="Q26" i="3"/>
  <c r="Q31" i="3"/>
  <c r="Q44" i="3"/>
  <c r="Q59" i="3"/>
  <c r="Q23" i="3"/>
  <c r="Q36" i="3"/>
  <c r="Q51" i="3"/>
  <c r="O44" i="3"/>
  <c r="Q37" i="3"/>
  <c r="Q33" i="3"/>
  <c r="Q25" i="3"/>
  <c r="Q60" i="3"/>
  <c r="Q45" i="3"/>
  <c r="Q11" i="3"/>
  <c r="Q17" i="3"/>
  <c r="Q47" i="3"/>
  <c r="Q62" i="3"/>
  <c r="Q53" i="3"/>
  <c r="Q10" i="3"/>
  <c r="Q29" i="3"/>
  <c r="Q24" i="3"/>
  <c r="Q20" i="3"/>
  <c r="Q50" i="3"/>
  <c r="Q8" i="3"/>
  <c r="Q32" i="3"/>
  <c r="Q42" i="3"/>
  <c r="O20" i="3"/>
  <c r="Q19" i="3"/>
  <c r="Q55" i="3"/>
  <c r="O8" i="3"/>
  <c r="O15" i="3"/>
  <c r="Q52" i="3"/>
  <c r="Q21" i="3"/>
  <c r="Q64" i="3"/>
  <c r="Q18" i="3"/>
  <c r="Q9" i="3"/>
  <c r="Q54" i="3"/>
  <c r="Q46" i="3"/>
  <c r="Q57" i="3"/>
  <c r="Q38" i="3"/>
  <c r="Q28" i="3"/>
  <c r="Q43" i="3"/>
  <c r="Q58" i="3"/>
  <c r="Q49" i="3"/>
  <c r="Q16" i="3"/>
  <c r="Q30" i="3"/>
  <c r="Q35" i="3"/>
  <c r="Q41" i="3"/>
  <c r="Q22" i="3"/>
  <c r="Q12" i="3"/>
  <c r="Q27" i="3"/>
  <c r="Q48" i="3"/>
  <c r="Q63" i="3"/>
  <c r="Q14" i="3"/>
  <c r="Q61" i="3"/>
  <c r="Q39" i="3"/>
  <c r="Q6" i="3"/>
  <c r="O7" i="3"/>
  <c r="O17" i="3"/>
  <c r="O24" i="3"/>
  <c r="O31" i="3"/>
  <c r="M19" i="3"/>
  <c r="M8" i="3"/>
  <c r="O25" i="3"/>
  <c r="O32" i="3"/>
  <c r="O39" i="3"/>
  <c r="O27" i="3"/>
  <c r="O59" i="3"/>
  <c r="M45" i="3"/>
  <c r="O60" i="3"/>
  <c r="O11" i="3"/>
  <c r="O57" i="3"/>
  <c r="O64" i="3"/>
  <c r="M42" i="3"/>
  <c r="O50" i="3"/>
  <c r="O41" i="3"/>
  <c r="O48" i="3"/>
  <c r="O55" i="3"/>
  <c r="O62" i="3"/>
  <c r="O36" i="3"/>
  <c r="O33" i="3"/>
  <c r="O40" i="3"/>
  <c r="O47" i="3"/>
  <c r="O54" i="3"/>
  <c r="O26" i="3"/>
  <c r="M25" i="3"/>
  <c r="O9" i="3"/>
  <c r="O16" i="3"/>
  <c r="O23" i="3"/>
  <c r="M17" i="3"/>
  <c r="M32" i="3"/>
  <c r="O42" i="3"/>
  <c r="O28" i="3"/>
  <c r="O34" i="3"/>
  <c r="O46" i="3"/>
  <c r="O38" i="3"/>
  <c r="M14" i="3"/>
  <c r="M28" i="3"/>
  <c r="O12" i="3"/>
  <c r="O18" i="3"/>
  <c r="O30" i="3"/>
  <c r="O35" i="3"/>
  <c r="O10" i="3"/>
  <c r="O19" i="3"/>
  <c r="O22" i="3"/>
  <c r="O43" i="3"/>
  <c r="O14" i="3"/>
  <c r="O58" i="3"/>
  <c r="O49" i="3"/>
  <c r="O56" i="3"/>
  <c r="O63" i="3"/>
  <c r="O51" i="3"/>
  <c r="O6" i="3"/>
  <c r="M40" i="3"/>
  <c r="K7" i="3"/>
  <c r="K52" i="3"/>
  <c r="M54" i="3"/>
  <c r="M38" i="3"/>
  <c r="M36" i="3"/>
  <c r="M49" i="3"/>
  <c r="M18" i="3"/>
  <c r="I60" i="3"/>
  <c r="K20" i="3"/>
  <c r="M51" i="3"/>
  <c r="M30" i="3"/>
  <c r="M9" i="3"/>
  <c r="M33" i="3"/>
  <c r="M35" i="3"/>
  <c r="M24" i="3"/>
  <c r="M22" i="3"/>
  <c r="M59" i="3"/>
  <c r="M46" i="3"/>
  <c r="M10" i="3"/>
  <c r="M63" i="3"/>
  <c r="M61" i="3"/>
  <c r="M20" i="3"/>
  <c r="M57" i="3"/>
  <c r="M55" i="3"/>
  <c r="M48" i="3"/>
  <c r="M27" i="3"/>
  <c r="M34" i="3"/>
  <c r="M12" i="3"/>
  <c r="M62" i="3"/>
  <c r="M41" i="3"/>
  <c r="M16" i="3"/>
  <c r="M43" i="3"/>
  <c r="M6" i="3"/>
  <c r="M58" i="3"/>
  <c r="M56" i="3"/>
  <c r="M47" i="3"/>
  <c r="M37" i="3"/>
  <c r="M53" i="3"/>
  <c r="M50" i="3"/>
  <c r="M39" i="3"/>
  <c r="M13" i="3"/>
  <c r="M29" i="3"/>
  <c r="M64" i="3"/>
  <c r="M31" i="3"/>
  <c r="M52" i="3"/>
  <c r="M21" i="3"/>
  <c r="M23" i="3"/>
  <c r="I8" i="3"/>
  <c r="I35" i="3"/>
  <c r="M11" i="3"/>
  <c r="M60" i="3"/>
  <c r="M26" i="3"/>
  <c r="M15" i="3"/>
  <c r="M44" i="3"/>
  <c r="M7" i="3"/>
  <c r="I31" i="3"/>
  <c r="K28" i="3"/>
  <c r="I28" i="3"/>
  <c r="I47" i="3"/>
  <c r="K60" i="3"/>
  <c r="I56" i="3"/>
  <c r="K61" i="3"/>
  <c r="K58" i="3"/>
  <c r="I25" i="3"/>
  <c r="I14" i="3"/>
  <c r="K46" i="3"/>
  <c r="K37" i="3"/>
  <c r="K43" i="3"/>
  <c r="K34" i="3"/>
  <c r="K24" i="3"/>
  <c r="K63" i="3"/>
  <c r="K38" i="3"/>
  <c r="K29" i="3"/>
  <c r="K35" i="3"/>
  <c r="K26" i="3"/>
  <c r="K16" i="3"/>
  <c r="K12" i="3"/>
  <c r="I59" i="3"/>
  <c r="K51" i="3"/>
  <c r="K6" i="3"/>
  <c r="K14" i="3"/>
  <c r="K55" i="3"/>
  <c r="K11" i="3"/>
  <c r="K56" i="3"/>
  <c r="K39" i="3"/>
  <c r="K48" i="3"/>
  <c r="K62" i="3"/>
  <c r="K53" i="3"/>
  <c r="K44" i="3"/>
  <c r="K23" i="3"/>
  <c r="K50" i="3"/>
  <c r="K40" i="3"/>
  <c r="K54" i="3"/>
  <c r="K45" i="3"/>
  <c r="K36" i="3"/>
  <c r="K59" i="3"/>
  <c r="K42" i="3"/>
  <c r="K32" i="3"/>
  <c r="K47" i="3"/>
  <c r="K30" i="3"/>
  <c r="K21" i="3"/>
  <c r="K27" i="3"/>
  <c r="K18" i="3"/>
  <c r="K8" i="3"/>
  <c r="I30" i="3"/>
  <c r="I33" i="3"/>
  <c r="K31" i="3"/>
  <c r="K22" i="3"/>
  <c r="K13" i="3"/>
  <c r="K19" i="3"/>
  <c r="K10" i="3"/>
  <c r="K64" i="3"/>
  <c r="I63" i="3"/>
  <c r="I50" i="3"/>
  <c r="I41" i="3"/>
  <c r="I36" i="3"/>
  <c r="I38" i="3"/>
  <c r="I62" i="3"/>
  <c r="I21" i="3"/>
  <c r="I46" i="3"/>
  <c r="I19" i="3"/>
  <c r="I15" i="3"/>
  <c r="I52" i="3"/>
  <c r="I48" i="3"/>
  <c r="I11" i="3"/>
  <c r="I39" i="3"/>
  <c r="I42" i="3"/>
  <c r="I44" i="3"/>
  <c r="I29" i="3"/>
  <c r="I57" i="3"/>
  <c r="I7" i="3"/>
  <c r="E49" i="3"/>
  <c r="I16" i="3"/>
  <c r="I26" i="3"/>
  <c r="I9" i="3"/>
  <c r="I22" i="3"/>
  <c r="I51" i="3"/>
  <c r="I17" i="3"/>
  <c r="I6" i="3"/>
  <c r="I18" i="3"/>
  <c r="I61" i="3"/>
  <c r="I20" i="3"/>
  <c r="I23" i="3"/>
  <c r="I43" i="3"/>
  <c r="I64" i="3"/>
  <c r="I45" i="3"/>
  <c r="I10" i="3"/>
  <c r="I37" i="3"/>
  <c r="I12" i="3"/>
  <c r="I40" i="3"/>
  <c r="I55" i="3"/>
  <c r="I13" i="3"/>
  <c r="I49" i="3"/>
  <c r="I27" i="3"/>
  <c r="I24" i="3"/>
  <c r="I58" i="3"/>
  <c r="I53" i="3"/>
  <c r="I54" i="3"/>
  <c r="I32" i="3"/>
  <c r="I34" i="3"/>
  <c r="E41" i="3"/>
  <c r="E34" i="3"/>
  <c r="E36" i="3"/>
  <c r="E46" i="3"/>
  <c r="E43" i="3"/>
  <c r="C63" i="3"/>
  <c r="E28" i="3"/>
  <c r="E11" i="3"/>
  <c r="E18" i="3"/>
  <c r="E9" i="3"/>
  <c r="E59" i="3"/>
  <c r="E57" i="3"/>
  <c r="E51" i="3"/>
  <c r="E22" i="3"/>
  <c r="E14" i="3"/>
  <c r="E20" i="3"/>
  <c r="E63" i="3"/>
  <c r="E53" i="3"/>
  <c r="E55" i="3"/>
  <c r="E37" i="3"/>
  <c r="E61" i="3"/>
  <c r="E27" i="3"/>
  <c r="E25" i="3"/>
  <c r="E58" i="3"/>
  <c r="E50" i="3"/>
  <c r="E47" i="3"/>
  <c r="E21" i="3"/>
  <c r="E35" i="3"/>
  <c r="E45" i="3"/>
  <c r="E42" i="3"/>
  <c r="E33" i="3"/>
  <c r="E39" i="3"/>
  <c r="E60" i="3"/>
  <c r="E29" i="3"/>
  <c r="E31" i="3"/>
  <c r="E6" i="3"/>
  <c r="E44" i="3"/>
  <c r="E19" i="3"/>
  <c r="E13" i="3"/>
  <c r="E26" i="3"/>
  <c r="E17" i="3"/>
  <c r="E23" i="3"/>
  <c r="E54" i="3"/>
  <c r="E52" i="3"/>
  <c r="E15" i="3"/>
  <c r="E30" i="3"/>
  <c r="E12" i="3"/>
  <c r="E62" i="3"/>
  <c r="E10" i="3"/>
  <c r="E38" i="3"/>
  <c r="E7" i="3"/>
  <c r="C48" i="3"/>
  <c r="C7" i="3"/>
  <c r="C19" i="3"/>
  <c r="C30" i="3"/>
  <c r="C37" i="3"/>
  <c r="C59" i="3"/>
  <c r="C45" i="3"/>
  <c r="C54" i="3"/>
  <c r="C61" i="3"/>
  <c r="C51" i="3"/>
  <c r="C53" i="3"/>
  <c r="C14" i="3"/>
  <c r="C8" i="3"/>
  <c r="C32" i="3"/>
  <c r="C55" i="3"/>
  <c r="C27" i="3"/>
  <c r="C47" i="3"/>
  <c r="C29" i="3"/>
  <c r="C10" i="3"/>
  <c r="C12" i="3"/>
  <c r="C38" i="3"/>
  <c r="C40" i="3"/>
  <c r="C17" i="3"/>
  <c r="C23" i="3"/>
  <c r="C16" i="3"/>
  <c r="C24" i="3"/>
  <c r="C43" i="3"/>
  <c r="C35" i="3"/>
  <c r="C20" i="3"/>
  <c r="C15" i="3"/>
  <c r="C39" i="3"/>
  <c r="C18" i="3"/>
  <c r="C6" i="3"/>
  <c r="C62" i="3"/>
  <c r="C57" i="3"/>
  <c r="C58" i="3"/>
  <c r="C21" i="3"/>
  <c r="C31" i="3"/>
  <c r="C49" i="3"/>
  <c r="C46" i="3"/>
  <c r="C25" i="3"/>
  <c r="C50" i="3"/>
  <c r="C13" i="3"/>
  <c r="C42" i="3"/>
  <c r="C64" i="3"/>
  <c r="C34" i="3"/>
  <c r="C11" i="3"/>
  <c r="C9" i="3"/>
  <c r="C33" i="3"/>
  <c r="C56" i="3"/>
  <c r="C26" i="3"/>
  <c r="AK5" i="3"/>
  <c r="E5" i="3"/>
  <c r="BI5" i="3"/>
  <c r="G5" i="3"/>
  <c r="AW5" i="3"/>
  <c r="O5" i="3"/>
  <c r="AQ5" i="3"/>
  <c r="BC5" i="3"/>
  <c r="Y5" i="3"/>
  <c r="AO5" i="3"/>
  <c r="AC5" i="3"/>
  <c r="AA5" i="3"/>
  <c r="AU5" i="3"/>
  <c r="AM5" i="3"/>
  <c r="K5" i="3"/>
  <c r="M5" i="3"/>
  <c r="Q5" i="3"/>
  <c r="BG5" i="3"/>
  <c r="AS5" i="3"/>
  <c r="AG5" i="3"/>
  <c r="U5" i="3"/>
  <c r="I5" i="3"/>
  <c r="BA5" i="3"/>
  <c r="AY5" i="3"/>
  <c r="W5" i="3"/>
  <c r="AI5" i="3"/>
  <c r="C5" i="3"/>
  <c r="AE5" i="3"/>
  <c r="BE5" i="3"/>
  <c r="S5" i="3"/>
  <c r="C66" i="3" l="1"/>
  <c r="AA66" i="3"/>
  <c r="E66" i="3"/>
  <c r="B41" i="4" s="1"/>
  <c r="G66" i="3"/>
  <c r="B42" i="4" s="1"/>
  <c r="I66" i="3"/>
  <c r="B43" i="4" s="1"/>
  <c r="K66" i="3"/>
  <c r="B44" i="4" s="1"/>
  <c r="M66" i="3"/>
  <c r="B45" i="4" s="1"/>
  <c r="O66" i="3"/>
  <c r="B46" i="4" s="1"/>
  <c r="Q66" i="3"/>
  <c r="B47" i="4" s="1"/>
  <c r="S66" i="3"/>
  <c r="B48" i="4" s="1"/>
  <c r="U66" i="3"/>
  <c r="B49" i="4" s="1"/>
  <c r="W66" i="3"/>
  <c r="B50" i="4" s="1"/>
  <c r="Y66" i="3"/>
  <c r="B51" i="4" s="1"/>
  <c r="AM66" i="3"/>
  <c r="B58" i="4" s="1"/>
  <c r="AC66" i="3"/>
  <c r="B53" i="4" s="1"/>
  <c r="AE66" i="3"/>
  <c r="B54" i="4" s="1"/>
  <c r="AG66" i="3"/>
  <c r="B55" i="4" s="1"/>
  <c r="AI66" i="3"/>
  <c r="B56" i="4" s="1"/>
  <c r="AK66" i="3"/>
  <c r="B57" i="4" s="1"/>
  <c r="AO66" i="3"/>
  <c r="B59" i="4" s="1"/>
  <c r="AQ66" i="3"/>
  <c r="B60" i="4" s="1"/>
  <c r="AS66" i="3"/>
  <c r="B61" i="4" s="1"/>
  <c r="AU66" i="3"/>
  <c r="B62" i="4" s="1"/>
  <c r="AW66" i="3"/>
  <c r="B63" i="4" s="1"/>
  <c r="AY66" i="3"/>
  <c r="B64" i="4" s="1"/>
  <c r="BA66" i="3"/>
  <c r="B65" i="4" s="1"/>
  <c r="BC66" i="3"/>
  <c r="B66" i="4" s="1"/>
  <c r="BE66" i="3"/>
  <c r="B67" i="4" s="1"/>
  <c r="BG66" i="3"/>
  <c r="B68" i="4" s="1"/>
  <c r="BI66" i="3"/>
  <c r="B69" i="4" s="1"/>
  <c r="BK5" i="3"/>
  <c r="BK66" i="3" s="1"/>
  <c r="B52" i="4"/>
  <c r="C40" i="4" l="1"/>
  <c r="C41" i="4"/>
  <c r="C49" i="4"/>
  <c r="C57" i="4"/>
  <c r="C65" i="4"/>
  <c r="C42" i="4"/>
  <c r="C50" i="4"/>
  <c r="C58" i="4"/>
  <c r="C66" i="4"/>
  <c r="C68" i="4"/>
  <c r="C43" i="4"/>
  <c r="C51" i="4"/>
  <c r="C59" i="4"/>
  <c r="C67" i="4"/>
  <c r="C60" i="4"/>
  <c r="C54" i="4"/>
  <c r="C44" i="4"/>
  <c r="C52" i="4"/>
  <c r="C45" i="4"/>
  <c r="C53" i="4"/>
  <c r="C61" i="4"/>
  <c r="C69" i="4"/>
  <c r="C46" i="4"/>
  <c r="C62" i="4"/>
  <c r="C47" i="4"/>
  <c r="C55" i="4"/>
  <c r="C63" i="4"/>
  <c r="C48" i="4"/>
  <c r="C56" i="4"/>
  <c r="C64" i="4"/>
  <c r="B40" i="4"/>
  <c r="P3" i="6" s="1"/>
  <c r="C6" i="4"/>
  <c r="J17" i="4"/>
  <c r="I17" i="4"/>
  <c r="H17" i="4"/>
  <c r="G17" i="4"/>
  <c r="N17" i="4"/>
  <c r="F17" i="4"/>
  <c r="L17" i="4"/>
  <c r="D17" i="4"/>
  <c r="C17" i="4"/>
  <c r="M17" i="4"/>
  <c r="K17" i="4"/>
  <c r="E17" i="4"/>
  <c r="X32" i="4"/>
  <c r="P32" i="4"/>
  <c r="H32" i="4"/>
  <c r="W32" i="4"/>
  <c r="O32" i="4"/>
  <c r="G32" i="4"/>
  <c r="V32" i="4"/>
  <c r="N32" i="4"/>
  <c r="F32" i="4"/>
  <c r="AC32" i="4"/>
  <c r="U32" i="4"/>
  <c r="M32" i="4"/>
  <c r="E32" i="4"/>
  <c r="AB32" i="4"/>
  <c r="T32" i="4"/>
  <c r="L32" i="4"/>
  <c r="D32" i="4"/>
  <c r="Z32" i="4"/>
  <c r="R32" i="4"/>
  <c r="J32" i="4"/>
  <c r="Y32" i="4"/>
  <c r="S32" i="4"/>
  <c r="I32" i="4"/>
  <c r="C32" i="4"/>
  <c r="Q32" i="4"/>
  <c r="K32" i="4"/>
  <c r="AA32" i="4"/>
  <c r="T24" i="4"/>
  <c r="L24" i="4"/>
  <c r="D24" i="4"/>
  <c r="S24" i="4"/>
  <c r="K24" i="4"/>
  <c r="C24" i="4"/>
  <c r="R24" i="4"/>
  <c r="J24" i="4"/>
  <c r="Q24" i="4"/>
  <c r="I24" i="4"/>
  <c r="P24" i="4"/>
  <c r="H24" i="4"/>
  <c r="N24" i="4"/>
  <c r="F24" i="4"/>
  <c r="E24" i="4"/>
  <c r="O24" i="4"/>
  <c r="U24" i="4"/>
  <c r="M24" i="4"/>
  <c r="G24" i="4"/>
  <c r="D8" i="4"/>
  <c r="C8" i="4"/>
  <c r="E8" i="4"/>
  <c r="H16" i="4"/>
  <c r="G16" i="4"/>
  <c r="F16" i="4"/>
  <c r="M16" i="4"/>
  <c r="E16" i="4"/>
  <c r="L16" i="4"/>
  <c r="D16" i="4"/>
  <c r="J16" i="4"/>
  <c r="K16" i="4"/>
  <c r="I16" i="4"/>
  <c r="C16" i="4"/>
  <c r="U31" i="4"/>
  <c r="M31" i="4"/>
  <c r="E31" i="4"/>
  <c r="AB31" i="4"/>
  <c r="T31" i="4"/>
  <c r="L31" i="4"/>
  <c r="D31" i="4"/>
  <c r="AA31" i="4"/>
  <c r="S31" i="4"/>
  <c r="K31" i="4"/>
  <c r="C31" i="4"/>
  <c r="Z31" i="4"/>
  <c r="R31" i="4"/>
  <c r="J31" i="4"/>
  <c r="Y31" i="4"/>
  <c r="Q31" i="4"/>
  <c r="I31" i="4"/>
  <c r="W31" i="4"/>
  <c r="O31" i="4"/>
  <c r="G31" i="4"/>
  <c r="V31" i="4"/>
  <c r="P31" i="4"/>
  <c r="N31" i="4"/>
  <c r="H31" i="4"/>
  <c r="F31" i="4"/>
  <c r="X31" i="4"/>
  <c r="Q23" i="4"/>
  <c r="I23" i="4"/>
  <c r="P23" i="4"/>
  <c r="H23" i="4"/>
  <c r="O23" i="4"/>
  <c r="G23" i="4"/>
  <c r="N23" i="4"/>
  <c r="F23" i="4"/>
  <c r="M23" i="4"/>
  <c r="E23" i="4"/>
  <c r="S23" i="4"/>
  <c r="K23" i="4"/>
  <c r="C23" i="4"/>
  <c r="D23" i="4"/>
  <c r="T23" i="4"/>
  <c r="R23" i="4"/>
  <c r="J23" i="4"/>
  <c r="L23" i="4"/>
  <c r="E15" i="4"/>
  <c r="L15" i="4"/>
  <c r="D15" i="4"/>
  <c r="K15" i="4"/>
  <c r="C15" i="4"/>
  <c r="J15" i="4"/>
  <c r="I15" i="4"/>
  <c r="G15" i="4"/>
  <c r="H15" i="4"/>
  <c r="F15" i="4"/>
  <c r="C7" i="4"/>
  <c r="D7" i="4"/>
  <c r="Y30" i="4"/>
  <c r="Q30" i="4"/>
  <c r="I30" i="4"/>
  <c r="X30" i="4"/>
  <c r="P30" i="4"/>
  <c r="H30" i="4"/>
  <c r="W30" i="4"/>
  <c r="O30" i="4"/>
  <c r="G30" i="4"/>
  <c r="V30" i="4"/>
  <c r="N30" i="4"/>
  <c r="F30" i="4"/>
  <c r="U30" i="4"/>
  <c r="M30" i="4"/>
  <c r="E30" i="4"/>
  <c r="AA30" i="4"/>
  <c r="S30" i="4"/>
  <c r="K30" i="4"/>
  <c r="C30" i="4"/>
  <c r="R30" i="4"/>
  <c r="L30" i="4"/>
  <c r="J30" i="4"/>
  <c r="D30" i="4"/>
  <c r="Z30" i="4"/>
  <c r="T30" i="4"/>
  <c r="M22" i="4"/>
  <c r="E22" i="4"/>
  <c r="L22" i="4"/>
  <c r="D22" i="4"/>
  <c r="S22" i="4"/>
  <c r="K22" i="4"/>
  <c r="C22" i="4"/>
  <c r="R22" i="4"/>
  <c r="J22" i="4"/>
  <c r="Q22" i="4"/>
  <c r="I22" i="4"/>
  <c r="O22" i="4"/>
  <c r="G22" i="4"/>
  <c r="N22" i="4"/>
  <c r="H22" i="4"/>
  <c r="F22" i="4"/>
  <c r="P22" i="4"/>
  <c r="I14" i="4"/>
  <c r="H14" i="4"/>
  <c r="G14" i="4"/>
  <c r="F14" i="4"/>
  <c r="E14" i="4"/>
  <c r="K14" i="4"/>
  <c r="C14" i="4"/>
  <c r="J14" i="4"/>
  <c r="D14" i="4"/>
  <c r="T29" i="4"/>
  <c r="L29" i="4"/>
  <c r="D29" i="4"/>
  <c r="S29" i="4"/>
  <c r="K29" i="4"/>
  <c r="C29" i="4"/>
  <c r="Z29" i="4"/>
  <c r="R29" i="4"/>
  <c r="J29" i="4"/>
  <c r="Y29" i="4"/>
  <c r="Q29" i="4"/>
  <c r="I29" i="4"/>
  <c r="X29" i="4"/>
  <c r="P29" i="4"/>
  <c r="H29" i="4"/>
  <c r="V29" i="4"/>
  <c r="N29" i="4"/>
  <c r="F29" i="4"/>
  <c r="M29" i="4"/>
  <c r="G29" i="4"/>
  <c r="E29" i="4"/>
  <c r="W29" i="4"/>
  <c r="U29" i="4"/>
  <c r="O29" i="4"/>
  <c r="P21" i="4"/>
  <c r="H21" i="4"/>
  <c r="O21" i="4"/>
  <c r="G21" i="4"/>
  <c r="N21" i="4"/>
  <c r="F21" i="4"/>
  <c r="M21" i="4"/>
  <c r="E21" i="4"/>
  <c r="L21" i="4"/>
  <c r="D21" i="4"/>
  <c r="R21" i="4"/>
  <c r="J21" i="4"/>
  <c r="Q21" i="4"/>
  <c r="K21" i="4"/>
  <c r="I21" i="4"/>
  <c r="C21" i="4"/>
  <c r="D13" i="4"/>
  <c r="C13" i="4"/>
  <c r="J13" i="4"/>
  <c r="I13" i="4"/>
  <c r="H13" i="4"/>
  <c r="F13" i="4"/>
  <c r="E13" i="4"/>
  <c r="G13" i="4"/>
  <c r="V25" i="4"/>
  <c r="N25" i="4"/>
  <c r="F25" i="4"/>
  <c r="U25" i="4"/>
  <c r="M25" i="4"/>
  <c r="E25" i="4"/>
  <c r="T25" i="4"/>
  <c r="L25" i="4"/>
  <c r="D25" i="4"/>
  <c r="S25" i="4"/>
  <c r="K25" i="4"/>
  <c r="C25" i="4"/>
  <c r="R25" i="4"/>
  <c r="J25" i="4"/>
  <c r="P25" i="4"/>
  <c r="H25" i="4"/>
  <c r="O25" i="4"/>
  <c r="I25" i="4"/>
  <c r="G25" i="4"/>
  <c r="Q25" i="4"/>
  <c r="V28" i="4"/>
  <c r="N28" i="4"/>
  <c r="F28" i="4"/>
  <c r="U28" i="4"/>
  <c r="M28" i="4"/>
  <c r="E28" i="4"/>
  <c r="T28" i="4"/>
  <c r="L28" i="4"/>
  <c r="D28" i="4"/>
  <c r="S28" i="4"/>
  <c r="K28" i="4"/>
  <c r="C28" i="4"/>
  <c r="R28" i="4"/>
  <c r="J28" i="4"/>
  <c r="X28" i="4"/>
  <c r="P28" i="4"/>
  <c r="H28" i="4"/>
  <c r="G28" i="4"/>
  <c r="W28" i="4"/>
  <c r="Y28" i="4"/>
  <c r="O28" i="4"/>
  <c r="I28" i="4"/>
  <c r="Q28" i="4"/>
  <c r="J20" i="4"/>
  <c r="Q20" i="4"/>
  <c r="I20" i="4"/>
  <c r="P20" i="4"/>
  <c r="H20" i="4"/>
  <c r="O20" i="4"/>
  <c r="G20" i="4"/>
  <c r="N20" i="4"/>
  <c r="F20" i="4"/>
  <c r="L20" i="4"/>
  <c r="D20" i="4"/>
  <c r="C20" i="4"/>
  <c r="M20" i="4"/>
  <c r="K20" i="4"/>
  <c r="E20" i="4"/>
  <c r="F12" i="4"/>
  <c r="E12" i="4"/>
  <c r="D12" i="4"/>
  <c r="C12" i="4"/>
  <c r="H12" i="4"/>
  <c r="I12" i="4"/>
  <c r="G12" i="4"/>
  <c r="Z33" i="4"/>
  <c r="R33" i="4"/>
  <c r="J33" i="4"/>
  <c r="Y33" i="4"/>
  <c r="Q33" i="4"/>
  <c r="I33" i="4"/>
  <c r="X33" i="4"/>
  <c r="P33" i="4"/>
  <c r="H33" i="4"/>
  <c r="W33" i="4"/>
  <c r="O33" i="4"/>
  <c r="G33" i="4"/>
  <c r="AD33" i="4"/>
  <c r="V33" i="4"/>
  <c r="N33" i="4"/>
  <c r="F33" i="4"/>
  <c r="AB33" i="4"/>
  <c r="T33" i="4"/>
  <c r="L33" i="4"/>
  <c r="D33" i="4"/>
  <c r="AA33" i="4"/>
  <c r="E33" i="4"/>
  <c r="U33" i="4"/>
  <c r="S33" i="4"/>
  <c r="K33" i="4"/>
  <c r="M33" i="4"/>
  <c r="C33" i="4"/>
  <c r="AC33" i="4"/>
  <c r="F9" i="4"/>
  <c r="E9" i="4"/>
  <c r="D9" i="4"/>
  <c r="C9" i="4"/>
  <c r="AB35" i="4"/>
  <c r="T35" i="4"/>
  <c r="L35" i="4"/>
  <c r="D35" i="4"/>
  <c r="G35" i="4"/>
  <c r="AA35" i="4"/>
  <c r="S35" i="4"/>
  <c r="K35" i="4"/>
  <c r="C35" i="4"/>
  <c r="O35" i="4"/>
  <c r="Z35" i="4"/>
  <c r="R35" i="4"/>
  <c r="J35" i="4"/>
  <c r="Y35" i="4"/>
  <c r="Q35" i="4"/>
  <c r="I35" i="4"/>
  <c r="AE35" i="4"/>
  <c r="AF34" i="4" s="1"/>
  <c r="AF35" i="4"/>
  <c r="X35" i="4"/>
  <c r="P35" i="4"/>
  <c r="H35" i="4"/>
  <c r="W35" i="4"/>
  <c r="AD35" i="4"/>
  <c r="V35" i="4"/>
  <c r="N35" i="4"/>
  <c r="F35" i="4"/>
  <c r="AC35" i="4"/>
  <c r="U35" i="4"/>
  <c r="M35" i="4"/>
  <c r="E35" i="4"/>
  <c r="W27" i="4"/>
  <c r="O27" i="4"/>
  <c r="G27" i="4"/>
  <c r="V27" i="4"/>
  <c r="N27" i="4"/>
  <c r="F27" i="4"/>
  <c r="U27" i="4"/>
  <c r="M27" i="4"/>
  <c r="E27" i="4"/>
  <c r="T27" i="4"/>
  <c r="L27" i="4"/>
  <c r="D27" i="4"/>
  <c r="S27" i="4"/>
  <c r="K27" i="4"/>
  <c r="C27" i="4"/>
  <c r="Q27" i="4"/>
  <c r="I27" i="4"/>
  <c r="P27" i="4"/>
  <c r="X27" i="4"/>
  <c r="R27" i="4"/>
  <c r="J27" i="4"/>
  <c r="H27" i="4"/>
  <c r="K19" i="4"/>
  <c r="C19" i="4"/>
  <c r="J19" i="4"/>
  <c r="I19" i="4"/>
  <c r="P19" i="4"/>
  <c r="H19" i="4"/>
  <c r="O19" i="4"/>
  <c r="G19" i="4"/>
  <c r="M19" i="4"/>
  <c r="E19" i="4"/>
  <c r="D19" i="4"/>
  <c r="L19" i="4"/>
  <c r="F19" i="4"/>
  <c r="N19" i="4"/>
  <c r="G11" i="4"/>
  <c r="F11" i="4"/>
  <c r="E11" i="4"/>
  <c r="D11" i="4"/>
  <c r="C11" i="4"/>
  <c r="H11" i="4"/>
  <c r="AA34" i="4"/>
  <c r="S34" i="4"/>
  <c r="K34" i="4"/>
  <c r="C34" i="4"/>
  <c r="Z34" i="4"/>
  <c r="R34" i="4"/>
  <c r="J34" i="4"/>
  <c r="Y34" i="4"/>
  <c r="Q34" i="4"/>
  <c r="I34" i="4"/>
  <c r="X34" i="4"/>
  <c r="P34" i="4"/>
  <c r="H34" i="4"/>
  <c r="AD34" i="4"/>
  <c r="N34" i="4"/>
  <c r="AE34" i="4"/>
  <c r="W34" i="4"/>
  <c r="O34" i="4"/>
  <c r="G34" i="4"/>
  <c r="V34" i="4"/>
  <c r="AC34" i="4"/>
  <c r="U34" i="4"/>
  <c r="M34" i="4"/>
  <c r="E34" i="4"/>
  <c r="L34" i="4"/>
  <c r="AB34" i="4"/>
  <c r="T34" i="4"/>
  <c r="F34" i="4"/>
  <c r="D34" i="4"/>
  <c r="W26" i="4"/>
  <c r="O26" i="4"/>
  <c r="G26" i="4"/>
  <c r="V26" i="4"/>
  <c r="N26" i="4"/>
  <c r="F26" i="4"/>
  <c r="U26" i="4"/>
  <c r="M26" i="4"/>
  <c r="E26" i="4"/>
  <c r="T26" i="4"/>
  <c r="L26" i="4"/>
  <c r="D26" i="4"/>
  <c r="S26" i="4"/>
  <c r="K26" i="4"/>
  <c r="C26" i="4"/>
  <c r="Q26" i="4"/>
  <c r="I26" i="4"/>
  <c r="R26" i="4"/>
  <c r="H26" i="4"/>
  <c r="P26" i="4"/>
  <c r="J26" i="4"/>
  <c r="K18" i="4"/>
  <c r="C18" i="4"/>
  <c r="J18" i="4"/>
  <c r="I18" i="4"/>
  <c r="H18" i="4"/>
  <c r="O18" i="4"/>
  <c r="G18" i="4"/>
  <c r="M18" i="4"/>
  <c r="E18" i="4"/>
  <c r="N18" i="4"/>
  <c r="D18" i="4"/>
  <c r="L18" i="4"/>
  <c r="F18" i="4"/>
  <c r="G10" i="4"/>
  <c r="F10" i="4"/>
  <c r="E10" i="4"/>
  <c r="D10" i="4"/>
  <c r="C10" i="4"/>
  <c r="P29" i="6"/>
  <c r="P21" i="6"/>
  <c r="P13" i="6"/>
  <c r="P10" i="6"/>
  <c r="P27" i="6"/>
  <c r="P19" i="6"/>
  <c r="P24" i="6"/>
  <c r="P16" i="6"/>
  <c r="P31" i="6"/>
  <c r="P8" i="6"/>
  <c r="P7" i="6"/>
  <c r="P6" i="6"/>
  <c r="Q32" i="6" l="1"/>
  <c r="Q31" i="6"/>
  <c r="B5" i="5"/>
  <c r="AD33" i="5"/>
  <c r="AB33" i="5"/>
  <c r="AB31" i="5"/>
  <c r="Z29" i="5"/>
  <c r="Z31" i="5"/>
  <c r="Z33" i="5"/>
  <c r="W29" i="5"/>
  <c r="W31" i="5"/>
  <c r="W33" i="5"/>
  <c r="W26" i="5"/>
  <c r="T23" i="5"/>
  <c r="T29" i="5"/>
  <c r="T33" i="5"/>
  <c r="T26" i="5"/>
  <c r="T31" i="5"/>
  <c r="R21" i="5"/>
  <c r="R23" i="5"/>
  <c r="R31" i="5"/>
  <c r="R33" i="5"/>
  <c r="R26" i="5"/>
  <c r="R29" i="5"/>
  <c r="O21" i="5"/>
  <c r="O29" i="5"/>
  <c r="O26" i="5"/>
  <c r="O23" i="5"/>
  <c r="O31" i="5"/>
  <c r="O33" i="5"/>
  <c r="O18" i="5"/>
  <c r="L15" i="5"/>
  <c r="L33" i="5"/>
  <c r="L18" i="5"/>
  <c r="L26" i="5"/>
  <c r="L23" i="5"/>
  <c r="L31" i="5"/>
  <c r="L21" i="5"/>
  <c r="L29" i="5"/>
  <c r="I21" i="5"/>
  <c r="I29" i="5"/>
  <c r="I15" i="5"/>
  <c r="I23" i="5"/>
  <c r="I31" i="5"/>
  <c r="I33" i="5"/>
  <c r="I18" i="5"/>
  <c r="I26" i="5"/>
  <c r="I12" i="5"/>
  <c r="G10" i="5"/>
  <c r="G23" i="5"/>
  <c r="G12" i="5"/>
  <c r="G21" i="5"/>
  <c r="G29" i="5"/>
  <c r="G15" i="5"/>
  <c r="G31" i="5"/>
  <c r="G33" i="5"/>
  <c r="G18" i="5"/>
  <c r="G26" i="5"/>
  <c r="F12" i="5"/>
  <c r="F21" i="5"/>
  <c r="F29" i="5"/>
  <c r="F33" i="5"/>
  <c r="F18" i="5"/>
  <c r="F15" i="5"/>
  <c r="F23" i="5"/>
  <c r="F31" i="5"/>
  <c r="F10" i="5"/>
  <c r="F26" i="5"/>
  <c r="F9" i="5"/>
  <c r="E8" i="5"/>
  <c r="E10" i="5"/>
  <c r="E12" i="5"/>
  <c r="E26" i="5"/>
  <c r="E21" i="5"/>
  <c r="E29" i="5"/>
  <c r="E33" i="5"/>
  <c r="E18" i="5"/>
  <c r="E15" i="5"/>
  <c r="E23" i="5"/>
  <c r="E31" i="5"/>
  <c r="E9" i="5"/>
  <c r="B8" i="5"/>
  <c r="B33" i="5"/>
  <c r="B21" i="5"/>
  <c r="B15" i="5"/>
  <c r="B9" i="5"/>
  <c r="B18" i="5"/>
  <c r="B29" i="5"/>
  <c r="B10" i="5"/>
  <c r="B26" i="5"/>
  <c r="B23" i="5"/>
  <c r="B12" i="5"/>
  <c r="B31" i="5"/>
  <c r="AE33" i="4" a="1"/>
  <c r="AE33" i="4" s="1"/>
  <c r="Q30" i="6" s="1"/>
  <c r="Y27" i="4" a="1"/>
  <c r="Y27" i="4" s="1"/>
  <c r="Q24" i="6" s="1"/>
  <c r="P20" i="6"/>
  <c r="P22" i="6"/>
  <c r="P9" i="6"/>
  <c r="P26" i="6"/>
  <c r="O17" i="4" a="1"/>
  <c r="O17" i="4" s="1"/>
  <c r="Q14" i="6" s="1"/>
  <c r="AD32" i="4" a="1"/>
  <c r="AD32" i="4" s="1"/>
  <c r="Q29" i="6" s="1"/>
  <c r="R20" i="4" a="1"/>
  <c r="R20" i="4" s="1"/>
  <c r="Q17" i="6" s="1"/>
  <c r="AA29" i="4" a="1"/>
  <c r="AA29" i="4" s="1"/>
  <c r="Q26" i="6" s="1"/>
  <c r="L14" i="4" a="1"/>
  <c r="L14" i="4" s="1"/>
  <c r="Q11" i="6" s="1"/>
  <c r="AB30" i="4" a="1"/>
  <c r="AB30" i="4" s="1"/>
  <c r="Q27" i="6" s="1"/>
  <c r="U23" i="4" a="1"/>
  <c r="U23" i="4" s="1"/>
  <c r="Q20" i="6" s="1"/>
  <c r="P25" i="6"/>
  <c r="P4" i="6"/>
  <c r="P30" i="6"/>
  <c r="P17" i="6"/>
  <c r="P12" i="6"/>
  <c r="H10" i="4" a="1"/>
  <c r="H10" i="4" s="1"/>
  <c r="Q7" i="6" s="1"/>
  <c r="P18" i="4" a="1"/>
  <c r="P18" i="4" s="1"/>
  <c r="Q15" i="6" s="1"/>
  <c r="V24" i="4" a="1"/>
  <c r="V24" i="4" s="1"/>
  <c r="Q21" i="6" s="1"/>
  <c r="J12" i="4" a="1"/>
  <c r="J12" i="4" s="1"/>
  <c r="Q9" i="6" s="1"/>
  <c r="D6" i="4" a="1"/>
  <c r="D6" i="4" s="1"/>
  <c r="Q3" i="6" s="1"/>
  <c r="P5" i="6"/>
  <c r="P23" i="6"/>
  <c r="P11" i="6"/>
  <c r="P28" i="6"/>
  <c r="G9" i="4" a="1"/>
  <c r="G9" i="4" s="1"/>
  <c r="Q6" i="6" s="1"/>
  <c r="W25" i="4" a="1"/>
  <c r="W25" i="4" s="1"/>
  <c r="Q22" i="6" s="1"/>
  <c r="Z28" i="4" a="1"/>
  <c r="Z28" i="4" s="1"/>
  <c r="Q25" i="6" s="1"/>
  <c r="T22" i="4" a="1"/>
  <c r="T22" i="4" s="1"/>
  <c r="Q19" i="6" s="1"/>
  <c r="X26" i="4" a="1"/>
  <c r="X26" i="4" s="1"/>
  <c r="Q23" i="6" s="1"/>
  <c r="M15" i="4" a="1"/>
  <c r="M15" i="4" s="1"/>
  <c r="Q12" i="6" s="1"/>
  <c r="E7" i="4" a="1"/>
  <c r="E7" i="4" s="1"/>
  <c r="Q4" i="6" s="1"/>
  <c r="F8" i="4" a="1"/>
  <c r="F8" i="4" s="1"/>
  <c r="Q5" i="6" s="1"/>
  <c r="I11" i="4" a="1"/>
  <c r="I11" i="4" s="1"/>
  <c r="Q8" i="6" s="1"/>
  <c r="Q19" i="4" a="1"/>
  <c r="Q19" i="4" s="1"/>
  <c r="Q16" i="6" s="1"/>
  <c r="K13" i="4" a="1"/>
  <c r="K13" i="4" s="1"/>
  <c r="Q10" i="6" s="1"/>
  <c r="AC31" i="4" a="1"/>
  <c r="AC31" i="4" s="1"/>
  <c r="Q28" i="6" s="1"/>
  <c r="N16" i="4" a="1"/>
  <c r="N16" i="4" s="1"/>
  <c r="Q13" i="6" s="1"/>
  <c r="P15" i="6"/>
  <c r="P14" i="6"/>
  <c r="P32" i="6"/>
  <c r="P18" i="6"/>
  <c r="S21" i="4" a="1"/>
  <c r="S21" i="4" s="1"/>
  <c r="Q18" i="6" s="1"/>
  <c r="R4" i="6" l="1"/>
  <c r="R5" i="6"/>
  <c r="R3" i="6"/>
  <c r="R6" i="6"/>
  <c r="R21" i="6"/>
  <c r="B34" i="5"/>
  <c r="AE34" i="5"/>
  <c r="AD34" i="5"/>
  <c r="AE33" i="5" s="1"/>
  <c r="AC33" i="5"/>
  <c r="AC34" i="5"/>
  <c r="B32" i="5"/>
  <c r="AC32" i="5"/>
  <c r="AB32" i="5"/>
  <c r="AB34" i="5"/>
  <c r="AA32" i="5"/>
  <c r="AA33" i="5"/>
  <c r="AA34" i="5"/>
  <c r="AA31" i="5"/>
  <c r="B30" i="5"/>
  <c r="AA30" i="5"/>
  <c r="Z34" i="5"/>
  <c r="Z32" i="5"/>
  <c r="Z30" i="5"/>
  <c r="Y30" i="5"/>
  <c r="Y33" i="5"/>
  <c r="Y31" i="5"/>
  <c r="Y29" i="5"/>
  <c r="Y32" i="5"/>
  <c r="Y34" i="5"/>
  <c r="B28" i="5"/>
  <c r="Y28" i="5"/>
  <c r="X29" i="5"/>
  <c r="X30" i="5"/>
  <c r="X31" i="5"/>
  <c r="X32" i="5"/>
  <c r="X33" i="5"/>
  <c r="X34" i="5"/>
  <c r="X28" i="5"/>
  <c r="B27" i="5"/>
  <c r="X27" i="5"/>
  <c r="W32" i="5"/>
  <c r="W34" i="5"/>
  <c r="W30" i="5"/>
  <c r="W28" i="5"/>
  <c r="W27" i="5"/>
  <c r="V27" i="5"/>
  <c r="V28" i="5"/>
  <c r="V29" i="5"/>
  <c r="V30" i="5"/>
  <c r="V33" i="5"/>
  <c r="V26" i="5"/>
  <c r="V31" i="5"/>
  <c r="V32" i="5"/>
  <c r="V34" i="5"/>
  <c r="B25" i="5"/>
  <c r="V25" i="5"/>
  <c r="U27" i="5"/>
  <c r="U32" i="5"/>
  <c r="U28" i="5"/>
  <c r="U33" i="5"/>
  <c r="U34" i="5"/>
  <c r="U29" i="5"/>
  <c r="U30" i="5"/>
  <c r="U31" i="5"/>
  <c r="U25" i="5"/>
  <c r="U26" i="5"/>
  <c r="T34" i="5"/>
  <c r="B24" i="5"/>
  <c r="U24" i="5"/>
  <c r="T25" i="5"/>
  <c r="T30" i="5"/>
  <c r="T32" i="5"/>
  <c r="T28" i="5"/>
  <c r="T24" i="5"/>
  <c r="T27" i="5"/>
  <c r="R28" i="5"/>
  <c r="S24" i="5"/>
  <c r="S32" i="5"/>
  <c r="S25" i="5"/>
  <c r="S33" i="5"/>
  <c r="S26" i="5"/>
  <c r="S34" i="5"/>
  <c r="S23" i="5"/>
  <c r="S27" i="5"/>
  <c r="S30" i="5"/>
  <c r="S28" i="5"/>
  <c r="S31" i="5"/>
  <c r="S29" i="5"/>
  <c r="B22" i="5"/>
  <c r="S22" i="5"/>
  <c r="R25" i="5"/>
  <c r="R22" i="5"/>
  <c r="R24" i="5"/>
  <c r="R27" i="5"/>
  <c r="R30" i="5"/>
  <c r="R32" i="5"/>
  <c r="R34" i="5"/>
  <c r="Q21" i="5"/>
  <c r="Q29" i="5"/>
  <c r="Q22" i="5"/>
  <c r="Q30" i="5"/>
  <c r="Q23" i="5"/>
  <c r="Q31" i="5"/>
  <c r="Q24" i="5"/>
  <c r="Q32" i="5"/>
  <c r="Q34" i="5"/>
  <c r="Q25" i="5"/>
  <c r="Q33" i="5"/>
  <c r="Q26" i="5"/>
  <c r="Q27" i="5"/>
  <c r="Q28" i="5"/>
  <c r="B20" i="5"/>
  <c r="Q20" i="5"/>
  <c r="O19" i="5"/>
  <c r="P21" i="5"/>
  <c r="P29" i="5"/>
  <c r="P23" i="5"/>
  <c r="P31" i="5"/>
  <c r="P24" i="5"/>
  <c r="P32" i="5"/>
  <c r="P34" i="5"/>
  <c r="P27" i="5"/>
  <c r="P28" i="5"/>
  <c r="P22" i="5"/>
  <c r="P30" i="5"/>
  <c r="P25" i="5"/>
  <c r="P33" i="5"/>
  <c r="P26" i="5"/>
  <c r="P20" i="5"/>
  <c r="B19" i="5"/>
  <c r="P19" i="5"/>
  <c r="O25" i="5"/>
  <c r="O32" i="5"/>
  <c r="O30" i="5"/>
  <c r="O24" i="5"/>
  <c r="O22" i="5"/>
  <c r="O27" i="5"/>
  <c r="O34" i="5"/>
  <c r="O28" i="5"/>
  <c r="O20" i="5"/>
  <c r="N20" i="5"/>
  <c r="N28" i="5"/>
  <c r="N26" i="5"/>
  <c r="N21" i="5"/>
  <c r="N29" i="5"/>
  <c r="N22" i="5"/>
  <c r="N30" i="5"/>
  <c r="N18" i="5"/>
  <c r="N23" i="5"/>
  <c r="N31" i="5"/>
  <c r="N33" i="5"/>
  <c r="N19" i="5"/>
  <c r="N24" i="5"/>
  <c r="N32" i="5"/>
  <c r="N25" i="5"/>
  <c r="N34" i="5"/>
  <c r="N27" i="5"/>
  <c r="L22" i="5"/>
  <c r="B17" i="5"/>
  <c r="N17" i="5"/>
  <c r="M17" i="5"/>
  <c r="M25" i="5"/>
  <c r="M33" i="5"/>
  <c r="M29" i="5"/>
  <c r="M18" i="5"/>
  <c r="M26" i="5"/>
  <c r="M34" i="5"/>
  <c r="M19" i="5"/>
  <c r="M27" i="5"/>
  <c r="M21" i="5"/>
  <c r="M30" i="5"/>
  <c r="M20" i="5"/>
  <c r="M28" i="5"/>
  <c r="M22" i="5"/>
  <c r="M23" i="5"/>
  <c r="M31" i="5"/>
  <c r="M32" i="5"/>
  <c r="M24" i="5"/>
  <c r="L16" i="5"/>
  <c r="L32" i="5"/>
  <c r="L25" i="5"/>
  <c r="L30" i="5"/>
  <c r="L17" i="5"/>
  <c r="B16" i="5"/>
  <c r="M16" i="5"/>
  <c r="L28" i="5"/>
  <c r="L34" i="5"/>
  <c r="L20" i="5"/>
  <c r="L24" i="5"/>
  <c r="L27" i="5"/>
  <c r="L19" i="5"/>
  <c r="K17" i="5"/>
  <c r="K25" i="5"/>
  <c r="K33" i="5"/>
  <c r="K15" i="5"/>
  <c r="K18" i="5"/>
  <c r="K26" i="5"/>
  <c r="K34" i="5"/>
  <c r="K22" i="5"/>
  <c r="K31" i="5"/>
  <c r="K32" i="5"/>
  <c r="K19" i="5"/>
  <c r="K27" i="5"/>
  <c r="K30" i="5"/>
  <c r="K16" i="5"/>
  <c r="K20" i="5"/>
  <c r="K28" i="5"/>
  <c r="K23" i="5"/>
  <c r="K24" i="5"/>
  <c r="K21" i="5"/>
  <c r="K29" i="5"/>
  <c r="B14" i="5"/>
  <c r="K14" i="5"/>
  <c r="J16" i="5"/>
  <c r="J24" i="5"/>
  <c r="J32" i="5"/>
  <c r="J21" i="5"/>
  <c r="J30" i="5"/>
  <c r="J31" i="5"/>
  <c r="J17" i="5"/>
  <c r="J25" i="5"/>
  <c r="J33" i="5"/>
  <c r="J28" i="5"/>
  <c r="J29" i="5"/>
  <c r="J14" i="5"/>
  <c r="J23" i="5"/>
  <c r="J18" i="5"/>
  <c r="J26" i="5"/>
  <c r="J34" i="5"/>
  <c r="J22" i="5"/>
  <c r="J15" i="5"/>
  <c r="J19" i="5"/>
  <c r="J27" i="5"/>
  <c r="J20" i="5"/>
  <c r="I28" i="5"/>
  <c r="B13" i="5"/>
  <c r="J13" i="5"/>
  <c r="I25" i="5"/>
  <c r="I19" i="5"/>
  <c r="I27" i="5"/>
  <c r="I30" i="5"/>
  <c r="I34" i="5"/>
  <c r="I32" i="5"/>
  <c r="I22" i="5"/>
  <c r="I24" i="5"/>
  <c r="I14" i="5"/>
  <c r="I16" i="5"/>
  <c r="I17" i="5"/>
  <c r="I20" i="5"/>
  <c r="I13" i="5"/>
  <c r="G20" i="5"/>
  <c r="H14" i="5"/>
  <c r="H22" i="5"/>
  <c r="H30" i="5"/>
  <c r="H19" i="5"/>
  <c r="H28" i="5"/>
  <c r="H13" i="5"/>
  <c r="H15" i="5"/>
  <c r="H23" i="5"/>
  <c r="H31" i="5"/>
  <c r="H26" i="5"/>
  <c r="H12" i="5"/>
  <c r="H29" i="5"/>
  <c r="H16" i="5"/>
  <c r="H24" i="5"/>
  <c r="H32" i="5"/>
  <c r="H34" i="5"/>
  <c r="H20" i="5"/>
  <c r="H21" i="5"/>
  <c r="H17" i="5"/>
  <c r="H25" i="5"/>
  <c r="H33" i="5"/>
  <c r="H18" i="5"/>
  <c r="H27" i="5"/>
  <c r="G14" i="5"/>
  <c r="G16" i="5"/>
  <c r="B11" i="5"/>
  <c r="H11" i="5"/>
  <c r="G30" i="5"/>
  <c r="G22" i="5"/>
  <c r="G25" i="5"/>
  <c r="G17" i="5"/>
  <c r="G27" i="5"/>
  <c r="F32" i="5"/>
  <c r="G24" i="5"/>
  <c r="G13" i="5"/>
  <c r="G19" i="5"/>
  <c r="G32" i="5"/>
  <c r="G11" i="5"/>
  <c r="G34" i="5"/>
  <c r="G28" i="5"/>
  <c r="F14" i="5"/>
  <c r="F27" i="5"/>
  <c r="F19" i="5"/>
  <c r="F25" i="5"/>
  <c r="F13" i="5"/>
  <c r="F28" i="5"/>
  <c r="F16" i="5"/>
  <c r="F24" i="5"/>
  <c r="F20" i="5"/>
  <c r="F17" i="5"/>
  <c r="F30" i="5"/>
  <c r="F22" i="5"/>
  <c r="F34" i="5"/>
  <c r="F11" i="5"/>
  <c r="E25" i="5"/>
  <c r="E14" i="5"/>
  <c r="E13" i="5"/>
  <c r="E32" i="5"/>
  <c r="E27" i="5"/>
  <c r="E34" i="5"/>
  <c r="E16" i="5"/>
  <c r="E17" i="5"/>
  <c r="E19" i="5"/>
  <c r="E30" i="5"/>
  <c r="E28" i="5"/>
  <c r="E11" i="5"/>
  <c r="E24" i="5"/>
  <c r="E22" i="5"/>
  <c r="E20" i="5"/>
  <c r="D8" i="5"/>
  <c r="D24" i="5"/>
  <c r="D9" i="5"/>
  <c r="D17" i="5"/>
  <c r="D25" i="5"/>
  <c r="D33" i="5"/>
  <c r="D19" i="5"/>
  <c r="D20" i="5"/>
  <c r="D10" i="5"/>
  <c r="D18" i="5"/>
  <c r="D26" i="5"/>
  <c r="D34" i="5"/>
  <c r="D11" i="5"/>
  <c r="D27" i="5"/>
  <c r="D12" i="5"/>
  <c r="D28" i="5"/>
  <c r="D13" i="5"/>
  <c r="D29" i="5"/>
  <c r="D14" i="5"/>
  <c r="D22" i="5"/>
  <c r="D30" i="5"/>
  <c r="D15" i="5"/>
  <c r="D23" i="5"/>
  <c r="D31" i="5"/>
  <c r="D16" i="5"/>
  <c r="D32" i="5"/>
  <c r="D21" i="5"/>
  <c r="B7" i="5"/>
  <c r="D7" i="5"/>
  <c r="C7" i="5"/>
  <c r="C15" i="5"/>
  <c r="C23" i="5"/>
  <c r="C31" i="5"/>
  <c r="C20" i="5"/>
  <c r="C22" i="5"/>
  <c r="C8" i="5"/>
  <c r="C16" i="5"/>
  <c r="C24" i="5"/>
  <c r="C32" i="5"/>
  <c r="C27" i="5"/>
  <c r="C14" i="5"/>
  <c r="C30" i="5"/>
  <c r="C9" i="5"/>
  <c r="C17" i="5"/>
  <c r="C25" i="5"/>
  <c r="C33" i="5"/>
  <c r="C19" i="5"/>
  <c r="C12" i="5"/>
  <c r="C10" i="5"/>
  <c r="C18" i="5"/>
  <c r="C26" i="5"/>
  <c r="C34" i="5"/>
  <c r="C11" i="5"/>
  <c r="C28" i="5"/>
  <c r="C13" i="5"/>
  <c r="C21" i="5"/>
  <c r="C29" i="5"/>
  <c r="B6" i="5"/>
  <c r="C6" i="5"/>
  <c r="D38" i="5"/>
  <c r="E38" i="5" s="1"/>
  <c r="F38" i="5" s="1"/>
  <c r="S3" i="6" s="1"/>
  <c r="R29" i="6" l="1"/>
  <c r="R22" i="6"/>
  <c r="R15" i="6"/>
  <c r="R9" i="6"/>
  <c r="R19" i="6"/>
  <c r="R16" i="6"/>
  <c r="R7" i="6"/>
  <c r="R27" i="6"/>
  <c r="R26" i="6"/>
  <c r="R31" i="6"/>
  <c r="R20" i="6"/>
  <c r="R28" i="6"/>
  <c r="R24" i="6"/>
  <c r="R30" i="6"/>
  <c r="R13" i="6"/>
  <c r="R23" i="6"/>
  <c r="R11" i="6"/>
  <c r="R10" i="6"/>
  <c r="R25" i="6"/>
  <c r="R12" i="6"/>
  <c r="R8" i="6"/>
  <c r="R18" i="6"/>
  <c r="R14" i="6"/>
  <c r="R17" i="6"/>
  <c r="R32" i="6"/>
  <c r="G9" i="5" a="1"/>
  <c r="G9" i="5" s="1"/>
  <c r="P18" i="5" a="1"/>
  <c r="P18" i="5" s="1"/>
  <c r="AD32" i="5" a="1"/>
  <c r="AD32" i="5" s="1"/>
  <c r="Y27" i="5" a="1"/>
  <c r="Y27" i="5" s="1"/>
  <c r="W25" i="5" a="1"/>
  <c r="W25" i="5" s="1"/>
  <c r="S21" i="5" a="1"/>
  <c r="S21" i="5" s="1"/>
  <c r="H10" i="5" a="1"/>
  <c r="H10" i="5" s="1"/>
  <c r="F8" i="5" a="1"/>
  <c r="F8" i="5" s="1"/>
  <c r="T22" i="5" a="1"/>
  <c r="T22" i="5" s="1"/>
  <c r="Q19" i="5" a="1"/>
  <c r="Q19" i="5" s="1"/>
  <c r="N16" i="5" a="1"/>
  <c r="N16" i="5" s="1"/>
  <c r="L14" i="5" a="1"/>
  <c r="L14" i="5" s="1"/>
  <c r="I11" i="5" a="1"/>
  <c r="I11" i="5" s="1"/>
  <c r="O17" i="5" a="1"/>
  <c r="O17" i="5" s="1"/>
  <c r="J12" i="5" a="1"/>
  <c r="J12" i="5" s="1"/>
  <c r="E7" i="5" a="1"/>
  <c r="E7" i="5" s="1"/>
  <c r="D6" i="5" a="1"/>
  <c r="D6" i="5" s="1"/>
  <c r="C5" i="5" a="1"/>
  <c r="C5" i="5" s="1"/>
  <c r="AA29" i="5" a="1"/>
  <c r="AA29" i="5" s="1"/>
  <c r="U23" i="5" a="1"/>
  <c r="U23" i="5" s="1"/>
  <c r="M15" i="5" a="1"/>
  <c r="M15" i="5" s="1"/>
  <c r="R20" i="5" a="1"/>
  <c r="R20" i="5" s="1"/>
  <c r="AC31" i="5" a="1"/>
  <c r="AC31" i="5" s="1"/>
  <c r="V24" i="5" a="1"/>
  <c r="V24" i="5" s="1"/>
  <c r="X26" i="5" a="1"/>
  <c r="X26" i="5" s="1"/>
  <c r="Z28" i="5" a="1"/>
  <c r="Z28" i="5" s="1"/>
  <c r="AB30" i="5" a="1"/>
  <c r="AB30" i="5" s="1"/>
  <c r="K13" i="5" a="1"/>
  <c r="K13" i="5" s="1"/>
  <c r="D56" i="5" l="1"/>
  <c r="E56" i="5" s="1"/>
  <c r="F56" i="5" s="1"/>
  <c r="S21" i="6" s="1"/>
  <c r="D54" i="5"/>
  <c r="E54" i="5" s="1"/>
  <c r="F54" i="5" s="1"/>
  <c r="S19" i="6" s="1"/>
  <c r="D52" i="5"/>
  <c r="E52" i="5" s="1"/>
  <c r="F52" i="5" s="1"/>
  <c r="S17" i="6" s="1"/>
  <c r="D58" i="5"/>
  <c r="E58" i="5" s="1"/>
  <c r="F58" i="5" s="1"/>
  <c r="S23" i="6" s="1"/>
  <c r="D49" i="5"/>
  <c r="E49" i="5" s="1"/>
  <c r="F49" i="5" s="1"/>
  <c r="S14" i="6" s="1"/>
  <c r="D62" i="5"/>
  <c r="E62" i="5" s="1"/>
  <c r="F62" i="5" s="1"/>
  <c r="S27" i="6" s="1"/>
  <c r="D50" i="5"/>
  <c r="E50" i="5" s="1"/>
  <c r="F50" i="5" s="1"/>
  <c r="S15" i="6" s="1"/>
  <c r="D48" i="5"/>
  <c r="E48" i="5" s="1"/>
  <c r="F48" i="5" s="1"/>
  <c r="S13" i="6" s="1"/>
  <c r="D46" i="5"/>
  <c r="E46" i="5" s="1"/>
  <c r="F46" i="5" s="1"/>
  <c r="S11" i="6" s="1"/>
  <c r="D63" i="5"/>
  <c r="E63" i="5" s="1"/>
  <c r="F63" i="5" s="1"/>
  <c r="S28" i="6" s="1"/>
  <c r="D43" i="5"/>
  <c r="E43" i="5" s="1"/>
  <c r="F43" i="5" s="1"/>
  <c r="S8" i="6" s="1"/>
  <c r="D42" i="5"/>
  <c r="E42" i="5" s="1"/>
  <c r="F42" i="5" s="1"/>
  <c r="S7" i="6" s="1"/>
  <c r="D40" i="5"/>
  <c r="E40" i="5" s="1"/>
  <c r="F40" i="5" s="1"/>
  <c r="S5" i="6" s="1"/>
  <c r="D55" i="5"/>
  <c r="E55" i="5" s="1"/>
  <c r="F55" i="5" s="1"/>
  <c r="S20" i="6" s="1"/>
  <c r="D61" i="5"/>
  <c r="E61" i="5" s="1"/>
  <c r="F61" i="5" s="1"/>
  <c r="S26" i="6" s="1"/>
  <c r="D67" i="5"/>
  <c r="E67" i="5" s="1"/>
  <c r="F67" i="5" s="1"/>
  <c r="S32" i="6" s="1"/>
  <c r="D60" i="5"/>
  <c r="E60" i="5" s="1"/>
  <c r="F60" i="5" s="1"/>
  <c r="S25" i="6" s="1"/>
  <c r="D47" i="5"/>
  <c r="E47" i="5" s="1"/>
  <c r="F47" i="5" s="1"/>
  <c r="S12" i="6" s="1"/>
  <c r="D53" i="5"/>
  <c r="E53" i="5" s="1"/>
  <c r="F53" i="5" s="1"/>
  <c r="S18" i="6" s="1"/>
  <c r="D59" i="5"/>
  <c r="E59" i="5" s="1"/>
  <c r="F59" i="5" s="1"/>
  <c r="S24" i="6" s="1"/>
  <c r="D65" i="5"/>
  <c r="E65" i="5" s="1"/>
  <c r="F65" i="5" s="1"/>
  <c r="S30" i="6" s="1"/>
  <c r="D39" i="5"/>
  <c r="E39" i="5" s="1"/>
  <c r="F39" i="5" s="1"/>
  <c r="S4" i="6" s="1"/>
  <c r="D44" i="5"/>
  <c r="E44" i="5" s="1"/>
  <c r="F44" i="5" s="1"/>
  <c r="S9" i="6" s="1"/>
  <c r="D64" i="5"/>
  <c r="E64" i="5" s="1"/>
  <c r="F64" i="5" s="1"/>
  <c r="S29" i="6" s="1"/>
  <c r="D41" i="5"/>
  <c r="E41" i="5" s="1"/>
  <c r="F41" i="5" s="1"/>
  <c r="S6" i="6" s="1"/>
  <c r="D45" i="5"/>
  <c r="E45" i="5" s="1"/>
  <c r="F45" i="5" s="1"/>
  <c r="S10" i="6" s="1"/>
  <c r="D51" i="5"/>
  <c r="E51" i="5" s="1"/>
  <c r="F51" i="5" s="1"/>
  <c r="S16" i="6" s="1"/>
  <c r="D57" i="5"/>
  <c r="E57" i="5" s="1"/>
  <c r="F57" i="5" s="1"/>
  <c r="S22" i="6" s="1"/>
  <c r="D66" i="5"/>
  <c r="E66" i="5" s="1"/>
  <c r="F66" i="5" s="1"/>
  <c r="S31" i="6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EE040000}" name="Connection7730" type="4" refreshedVersion="4" background="1" saveData="1">
    <webPr xl2000="1" url="http://ichart.yahoo.com/table.csv?s=AAPL&amp;a=8&amp;b=1&amp;c=2007&amp;d=8&amp;e=1&amp;f=2012&amp;g=m&amp;q=q&amp;y=0&amp;z=AAPL&amp;x=.csv" htmlFormat="all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851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8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0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2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4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6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8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0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2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4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6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8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0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2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4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6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8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0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2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4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6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8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0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2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4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6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8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0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2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4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6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8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0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2"/>
        </ext>
      </extLst>
    </bk>
    <bk>
      <extLst>
        <ext uri="{3e2802c4-a4d2-4d8b-9148-e3be6c30e623}">
          <xlrd:rvb i="363"/>
        </ext>
      </extLst>
    </bk>
    <bk>
      <extLst>
        <ext uri="{3e2802c4-a4d2-4d8b-9148-e3be6c30e623}">
          <xlrd:rvb i="364"/>
        </ext>
      </extLst>
    </bk>
    <bk>
      <extLst>
        <ext uri="{3e2802c4-a4d2-4d8b-9148-e3be6c30e623}">
          <xlrd:rvb i="365"/>
        </ext>
      </extLst>
    </bk>
    <bk>
      <extLst>
        <ext uri="{3e2802c4-a4d2-4d8b-9148-e3be6c30e623}">
          <xlrd:rvb i="366"/>
        </ext>
      </extLst>
    </bk>
    <bk>
      <extLst>
        <ext uri="{3e2802c4-a4d2-4d8b-9148-e3be6c30e623}">
          <xlrd:rvb i="367"/>
        </ext>
      </extLst>
    </bk>
    <bk>
      <extLst>
        <ext uri="{3e2802c4-a4d2-4d8b-9148-e3be6c30e623}">
          <xlrd:rvb i="368"/>
        </ext>
      </extLst>
    </bk>
    <bk>
      <extLst>
        <ext uri="{3e2802c4-a4d2-4d8b-9148-e3be6c30e623}">
          <xlrd:rvb i="369"/>
        </ext>
      </extLst>
    </bk>
    <bk>
      <extLst>
        <ext uri="{3e2802c4-a4d2-4d8b-9148-e3be6c30e623}">
          <xlrd:rvb i="370"/>
        </ext>
      </extLst>
    </bk>
    <bk>
      <extLst>
        <ext uri="{3e2802c4-a4d2-4d8b-9148-e3be6c30e623}">
          <xlrd:rvb i="371"/>
        </ext>
      </extLst>
    </bk>
    <bk>
      <extLst>
        <ext uri="{3e2802c4-a4d2-4d8b-9148-e3be6c30e623}">
          <xlrd:rvb i="372"/>
        </ext>
      </extLst>
    </bk>
    <bk>
      <extLst>
        <ext uri="{3e2802c4-a4d2-4d8b-9148-e3be6c30e623}">
          <xlrd:rvb i="373"/>
        </ext>
      </extLst>
    </bk>
    <bk>
      <extLst>
        <ext uri="{3e2802c4-a4d2-4d8b-9148-e3be6c30e623}">
          <xlrd:rvb i="374"/>
        </ext>
      </extLst>
    </bk>
    <bk>
      <extLst>
        <ext uri="{3e2802c4-a4d2-4d8b-9148-e3be6c30e623}">
          <xlrd:rvb i="375"/>
        </ext>
      </extLst>
    </bk>
    <bk>
      <extLst>
        <ext uri="{3e2802c4-a4d2-4d8b-9148-e3be6c30e623}">
          <xlrd:rvb i="376"/>
        </ext>
      </extLst>
    </bk>
    <bk>
      <extLst>
        <ext uri="{3e2802c4-a4d2-4d8b-9148-e3be6c30e623}">
          <xlrd:rvb i="377"/>
        </ext>
      </extLst>
    </bk>
    <bk>
      <extLst>
        <ext uri="{3e2802c4-a4d2-4d8b-9148-e3be6c30e623}">
          <xlrd:rvb i="378"/>
        </ext>
      </extLst>
    </bk>
    <bk>
      <extLst>
        <ext uri="{3e2802c4-a4d2-4d8b-9148-e3be6c30e623}">
          <xlrd:rvb i="379"/>
        </ext>
      </extLst>
    </bk>
    <bk>
      <extLst>
        <ext uri="{3e2802c4-a4d2-4d8b-9148-e3be6c30e623}">
          <xlrd:rvb i="380"/>
        </ext>
      </extLst>
    </bk>
    <bk>
      <extLst>
        <ext uri="{3e2802c4-a4d2-4d8b-9148-e3be6c30e623}">
          <xlrd:rvb i="381"/>
        </ext>
      </extLst>
    </bk>
    <bk>
      <extLst>
        <ext uri="{3e2802c4-a4d2-4d8b-9148-e3be6c30e623}">
          <xlrd:rvb i="382"/>
        </ext>
      </extLst>
    </bk>
    <bk>
      <extLst>
        <ext uri="{3e2802c4-a4d2-4d8b-9148-e3be6c30e623}">
          <xlrd:rvb i="383"/>
        </ext>
      </extLst>
    </bk>
    <bk>
      <extLst>
        <ext uri="{3e2802c4-a4d2-4d8b-9148-e3be6c30e623}">
          <xlrd:rvb i="384"/>
        </ext>
      </extLst>
    </bk>
    <bk>
      <extLst>
        <ext uri="{3e2802c4-a4d2-4d8b-9148-e3be6c30e623}">
          <xlrd:rvb i="385"/>
        </ext>
      </extLst>
    </bk>
    <bk>
      <extLst>
        <ext uri="{3e2802c4-a4d2-4d8b-9148-e3be6c30e623}">
          <xlrd:rvb i="386"/>
        </ext>
      </extLst>
    </bk>
    <bk>
      <extLst>
        <ext uri="{3e2802c4-a4d2-4d8b-9148-e3be6c30e623}">
          <xlrd:rvb i="387"/>
        </ext>
      </extLst>
    </bk>
    <bk>
      <extLst>
        <ext uri="{3e2802c4-a4d2-4d8b-9148-e3be6c30e623}">
          <xlrd:rvb i="388"/>
        </ext>
      </extLst>
    </bk>
    <bk>
      <extLst>
        <ext uri="{3e2802c4-a4d2-4d8b-9148-e3be6c30e623}">
          <xlrd:rvb i="389"/>
        </ext>
      </extLst>
    </bk>
    <bk>
      <extLst>
        <ext uri="{3e2802c4-a4d2-4d8b-9148-e3be6c30e623}">
          <xlrd:rvb i="390"/>
        </ext>
      </extLst>
    </bk>
    <bk>
      <extLst>
        <ext uri="{3e2802c4-a4d2-4d8b-9148-e3be6c30e623}">
          <xlrd:rvb i="391"/>
        </ext>
      </extLst>
    </bk>
    <bk>
      <extLst>
        <ext uri="{3e2802c4-a4d2-4d8b-9148-e3be6c30e623}">
          <xlrd:rvb i="392"/>
        </ext>
      </extLst>
    </bk>
    <bk>
      <extLst>
        <ext uri="{3e2802c4-a4d2-4d8b-9148-e3be6c30e623}">
          <xlrd:rvb i="393"/>
        </ext>
      </extLst>
    </bk>
    <bk>
      <extLst>
        <ext uri="{3e2802c4-a4d2-4d8b-9148-e3be6c30e623}">
          <xlrd:rvb i="394"/>
        </ext>
      </extLst>
    </bk>
    <bk>
      <extLst>
        <ext uri="{3e2802c4-a4d2-4d8b-9148-e3be6c30e623}">
          <xlrd:rvb i="395"/>
        </ext>
      </extLst>
    </bk>
    <bk>
      <extLst>
        <ext uri="{3e2802c4-a4d2-4d8b-9148-e3be6c30e623}">
          <xlrd:rvb i="396"/>
        </ext>
      </extLst>
    </bk>
    <bk>
      <extLst>
        <ext uri="{3e2802c4-a4d2-4d8b-9148-e3be6c30e623}">
          <xlrd:rvb i="397"/>
        </ext>
      </extLst>
    </bk>
    <bk>
      <extLst>
        <ext uri="{3e2802c4-a4d2-4d8b-9148-e3be6c30e623}">
          <xlrd:rvb i="398"/>
        </ext>
      </extLst>
    </bk>
    <bk>
      <extLst>
        <ext uri="{3e2802c4-a4d2-4d8b-9148-e3be6c30e623}">
          <xlrd:rvb i="399"/>
        </ext>
      </extLst>
    </bk>
    <bk>
      <extLst>
        <ext uri="{3e2802c4-a4d2-4d8b-9148-e3be6c30e623}">
          <xlrd:rvb i="400"/>
        </ext>
      </extLst>
    </bk>
    <bk>
      <extLst>
        <ext uri="{3e2802c4-a4d2-4d8b-9148-e3be6c30e623}">
          <xlrd:rvb i="401"/>
        </ext>
      </extLst>
    </bk>
    <bk>
      <extLst>
        <ext uri="{3e2802c4-a4d2-4d8b-9148-e3be6c30e623}">
          <xlrd:rvb i="402"/>
        </ext>
      </extLst>
    </bk>
    <bk>
      <extLst>
        <ext uri="{3e2802c4-a4d2-4d8b-9148-e3be6c30e623}">
          <xlrd:rvb i="403"/>
        </ext>
      </extLst>
    </bk>
    <bk>
      <extLst>
        <ext uri="{3e2802c4-a4d2-4d8b-9148-e3be6c30e623}">
          <xlrd:rvb i="404"/>
        </ext>
      </extLst>
    </bk>
    <bk>
      <extLst>
        <ext uri="{3e2802c4-a4d2-4d8b-9148-e3be6c30e623}">
          <xlrd:rvb i="405"/>
        </ext>
      </extLst>
    </bk>
    <bk>
      <extLst>
        <ext uri="{3e2802c4-a4d2-4d8b-9148-e3be6c30e623}">
          <xlrd:rvb i="406"/>
        </ext>
      </extLst>
    </bk>
    <bk>
      <extLst>
        <ext uri="{3e2802c4-a4d2-4d8b-9148-e3be6c30e623}">
          <xlrd:rvb i="407"/>
        </ext>
      </extLst>
    </bk>
    <bk>
      <extLst>
        <ext uri="{3e2802c4-a4d2-4d8b-9148-e3be6c30e623}">
          <xlrd:rvb i="408"/>
        </ext>
      </extLst>
    </bk>
    <bk>
      <extLst>
        <ext uri="{3e2802c4-a4d2-4d8b-9148-e3be6c30e623}">
          <xlrd:rvb i="409"/>
        </ext>
      </extLst>
    </bk>
    <bk>
      <extLst>
        <ext uri="{3e2802c4-a4d2-4d8b-9148-e3be6c30e623}">
          <xlrd:rvb i="410"/>
        </ext>
      </extLst>
    </bk>
    <bk>
      <extLst>
        <ext uri="{3e2802c4-a4d2-4d8b-9148-e3be6c30e623}">
          <xlrd:rvb i="411"/>
        </ext>
      </extLst>
    </bk>
    <bk>
      <extLst>
        <ext uri="{3e2802c4-a4d2-4d8b-9148-e3be6c30e623}">
          <xlrd:rvb i="412"/>
        </ext>
      </extLst>
    </bk>
    <bk>
      <extLst>
        <ext uri="{3e2802c4-a4d2-4d8b-9148-e3be6c30e623}">
          <xlrd:rvb i="413"/>
        </ext>
      </extLst>
    </bk>
    <bk>
      <extLst>
        <ext uri="{3e2802c4-a4d2-4d8b-9148-e3be6c30e623}">
          <xlrd:rvb i="414"/>
        </ext>
      </extLst>
    </bk>
    <bk>
      <extLst>
        <ext uri="{3e2802c4-a4d2-4d8b-9148-e3be6c30e623}">
          <xlrd:rvb i="415"/>
        </ext>
      </extLst>
    </bk>
    <bk>
      <extLst>
        <ext uri="{3e2802c4-a4d2-4d8b-9148-e3be6c30e623}">
          <xlrd:rvb i="416"/>
        </ext>
      </extLst>
    </bk>
    <bk>
      <extLst>
        <ext uri="{3e2802c4-a4d2-4d8b-9148-e3be6c30e623}">
          <xlrd:rvb i="417"/>
        </ext>
      </extLst>
    </bk>
    <bk>
      <extLst>
        <ext uri="{3e2802c4-a4d2-4d8b-9148-e3be6c30e623}">
          <xlrd:rvb i="418"/>
        </ext>
      </extLst>
    </bk>
    <bk>
      <extLst>
        <ext uri="{3e2802c4-a4d2-4d8b-9148-e3be6c30e623}">
          <xlrd:rvb i="419"/>
        </ext>
      </extLst>
    </bk>
    <bk>
      <extLst>
        <ext uri="{3e2802c4-a4d2-4d8b-9148-e3be6c30e623}">
          <xlrd:rvb i="420"/>
        </ext>
      </extLst>
    </bk>
    <bk>
      <extLst>
        <ext uri="{3e2802c4-a4d2-4d8b-9148-e3be6c30e623}">
          <xlrd:rvb i="421"/>
        </ext>
      </extLst>
    </bk>
    <bk>
      <extLst>
        <ext uri="{3e2802c4-a4d2-4d8b-9148-e3be6c30e623}">
          <xlrd:rvb i="422"/>
        </ext>
      </extLst>
    </bk>
    <bk>
      <extLst>
        <ext uri="{3e2802c4-a4d2-4d8b-9148-e3be6c30e623}">
          <xlrd:rvb i="423"/>
        </ext>
      </extLst>
    </bk>
    <bk>
      <extLst>
        <ext uri="{3e2802c4-a4d2-4d8b-9148-e3be6c30e623}">
          <xlrd:rvb i="424"/>
        </ext>
      </extLst>
    </bk>
    <bk>
      <extLst>
        <ext uri="{3e2802c4-a4d2-4d8b-9148-e3be6c30e623}">
          <xlrd:rvb i="425"/>
        </ext>
      </extLst>
    </bk>
    <bk>
      <extLst>
        <ext uri="{3e2802c4-a4d2-4d8b-9148-e3be6c30e623}">
          <xlrd:rvb i="426"/>
        </ext>
      </extLst>
    </bk>
    <bk>
      <extLst>
        <ext uri="{3e2802c4-a4d2-4d8b-9148-e3be6c30e623}">
          <xlrd:rvb i="427"/>
        </ext>
      </extLst>
    </bk>
    <bk>
      <extLst>
        <ext uri="{3e2802c4-a4d2-4d8b-9148-e3be6c30e623}">
          <xlrd:rvb i="428"/>
        </ext>
      </extLst>
    </bk>
    <bk>
      <extLst>
        <ext uri="{3e2802c4-a4d2-4d8b-9148-e3be6c30e623}">
          <xlrd:rvb i="429"/>
        </ext>
      </extLst>
    </bk>
    <bk>
      <extLst>
        <ext uri="{3e2802c4-a4d2-4d8b-9148-e3be6c30e623}">
          <xlrd:rvb i="430"/>
        </ext>
      </extLst>
    </bk>
    <bk>
      <extLst>
        <ext uri="{3e2802c4-a4d2-4d8b-9148-e3be6c30e623}">
          <xlrd:rvb i="431"/>
        </ext>
      </extLst>
    </bk>
    <bk>
      <extLst>
        <ext uri="{3e2802c4-a4d2-4d8b-9148-e3be6c30e623}">
          <xlrd:rvb i="432"/>
        </ext>
      </extLst>
    </bk>
    <bk>
      <extLst>
        <ext uri="{3e2802c4-a4d2-4d8b-9148-e3be6c30e623}">
          <xlrd:rvb i="433"/>
        </ext>
      </extLst>
    </bk>
    <bk>
      <extLst>
        <ext uri="{3e2802c4-a4d2-4d8b-9148-e3be6c30e623}">
          <xlrd:rvb i="434"/>
        </ext>
      </extLst>
    </bk>
    <bk>
      <extLst>
        <ext uri="{3e2802c4-a4d2-4d8b-9148-e3be6c30e623}">
          <xlrd:rvb i="435"/>
        </ext>
      </extLst>
    </bk>
    <bk>
      <extLst>
        <ext uri="{3e2802c4-a4d2-4d8b-9148-e3be6c30e623}">
          <xlrd:rvb i="436"/>
        </ext>
      </extLst>
    </bk>
    <bk>
      <extLst>
        <ext uri="{3e2802c4-a4d2-4d8b-9148-e3be6c30e623}">
          <xlrd:rvb i="437"/>
        </ext>
      </extLst>
    </bk>
    <bk>
      <extLst>
        <ext uri="{3e2802c4-a4d2-4d8b-9148-e3be6c30e623}">
          <xlrd:rvb i="438"/>
        </ext>
      </extLst>
    </bk>
    <bk>
      <extLst>
        <ext uri="{3e2802c4-a4d2-4d8b-9148-e3be6c30e623}">
          <xlrd:rvb i="439"/>
        </ext>
      </extLst>
    </bk>
    <bk>
      <extLst>
        <ext uri="{3e2802c4-a4d2-4d8b-9148-e3be6c30e623}">
          <xlrd:rvb i="440"/>
        </ext>
      </extLst>
    </bk>
    <bk>
      <extLst>
        <ext uri="{3e2802c4-a4d2-4d8b-9148-e3be6c30e623}">
          <xlrd:rvb i="441"/>
        </ext>
      </extLst>
    </bk>
    <bk>
      <extLst>
        <ext uri="{3e2802c4-a4d2-4d8b-9148-e3be6c30e623}">
          <xlrd:rvb i="442"/>
        </ext>
      </extLst>
    </bk>
    <bk>
      <extLst>
        <ext uri="{3e2802c4-a4d2-4d8b-9148-e3be6c30e623}">
          <xlrd:rvb i="443"/>
        </ext>
      </extLst>
    </bk>
    <bk>
      <extLst>
        <ext uri="{3e2802c4-a4d2-4d8b-9148-e3be6c30e623}">
          <xlrd:rvb i="444"/>
        </ext>
      </extLst>
    </bk>
    <bk>
      <extLst>
        <ext uri="{3e2802c4-a4d2-4d8b-9148-e3be6c30e623}">
          <xlrd:rvb i="445"/>
        </ext>
      </extLst>
    </bk>
    <bk>
      <extLst>
        <ext uri="{3e2802c4-a4d2-4d8b-9148-e3be6c30e623}">
          <xlrd:rvb i="446"/>
        </ext>
      </extLst>
    </bk>
    <bk>
      <extLst>
        <ext uri="{3e2802c4-a4d2-4d8b-9148-e3be6c30e623}">
          <xlrd:rvb i="447"/>
        </ext>
      </extLst>
    </bk>
    <bk>
      <extLst>
        <ext uri="{3e2802c4-a4d2-4d8b-9148-e3be6c30e623}">
          <xlrd:rvb i="448"/>
        </ext>
      </extLst>
    </bk>
    <bk>
      <extLst>
        <ext uri="{3e2802c4-a4d2-4d8b-9148-e3be6c30e623}">
          <xlrd:rvb i="449"/>
        </ext>
      </extLst>
    </bk>
    <bk>
      <extLst>
        <ext uri="{3e2802c4-a4d2-4d8b-9148-e3be6c30e623}">
          <xlrd:rvb i="450"/>
        </ext>
      </extLst>
    </bk>
    <bk>
      <extLst>
        <ext uri="{3e2802c4-a4d2-4d8b-9148-e3be6c30e623}">
          <xlrd:rvb i="451"/>
        </ext>
      </extLst>
    </bk>
    <bk>
      <extLst>
        <ext uri="{3e2802c4-a4d2-4d8b-9148-e3be6c30e623}">
          <xlrd:rvb i="452"/>
        </ext>
      </extLst>
    </bk>
    <bk>
      <extLst>
        <ext uri="{3e2802c4-a4d2-4d8b-9148-e3be6c30e623}">
          <xlrd:rvb i="453"/>
        </ext>
      </extLst>
    </bk>
    <bk>
      <extLst>
        <ext uri="{3e2802c4-a4d2-4d8b-9148-e3be6c30e623}">
          <xlrd:rvb i="454"/>
        </ext>
      </extLst>
    </bk>
    <bk>
      <extLst>
        <ext uri="{3e2802c4-a4d2-4d8b-9148-e3be6c30e623}">
          <xlrd:rvb i="455"/>
        </ext>
      </extLst>
    </bk>
    <bk>
      <extLst>
        <ext uri="{3e2802c4-a4d2-4d8b-9148-e3be6c30e623}">
          <xlrd:rvb i="456"/>
        </ext>
      </extLst>
    </bk>
    <bk>
      <extLst>
        <ext uri="{3e2802c4-a4d2-4d8b-9148-e3be6c30e623}">
          <xlrd:rvb i="457"/>
        </ext>
      </extLst>
    </bk>
    <bk>
      <extLst>
        <ext uri="{3e2802c4-a4d2-4d8b-9148-e3be6c30e623}">
          <xlrd:rvb i="458"/>
        </ext>
      </extLst>
    </bk>
    <bk>
      <extLst>
        <ext uri="{3e2802c4-a4d2-4d8b-9148-e3be6c30e623}">
          <xlrd:rvb i="459"/>
        </ext>
      </extLst>
    </bk>
    <bk>
      <extLst>
        <ext uri="{3e2802c4-a4d2-4d8b-9148-e3be6c30e623}">
          <xlrd:rvb i="460"/>
        </ext>
      </extLst>
    </bk>
    <bk>
      <extLst>
        <ext uri="{3e2802c4-a4d2-4d8b-9148-e3be6c30e623}">
          <xlrd:rvb i="461"/>
        </ext>
      </extLst>
    </bk>
    <bk>
      <extLst>
        <ext uri="{3e2802c4-a4d2-4d8b-9148-e3be6c30e623}">
          <xlrd:rvb i="462"/>
        </ext>
      </extLst>
    </bk>
    <bk>
      <extLst>
        <ext uri="{3e2802c4-a4d2-4d8b-9148-e3be6c30e623}">
          <xlrd:rvb i="463"/>
        </ext>
      </extLst>
    </bk>
    <bk>
      <extLst>
        <ext uri="{3e2802c4-a4d2-4d8b-9148-e3be6c30e623}">
          <xlrd:rvb i="464"/>
        </ext>
      </extLst>
    </bk>
    <bk>
      <extLst>
        <ext uri="{3e2802c4-a4d2-4d8b-9148-e3be6c30e623}">
          <xlrd:rvb i="465"/>
        </ext>
      </extLst>
    </bk>
    <bk>
      <extLst>
        <ext uri="{3e2802c4-a4d2-4d8b-9148-e3be6c30e623}">
          <xlrd:rvb i="466"/>
        </ext>
      </extLst>
    </bk>
    <bk>
      <extLst>
        <ext uri="{3e2802c4-a4d2-4d8b-9148-e3be6c30e623}">
          <xlrd:rvb i="467"/>
        </ext>
      </extLst>
    </bk>
    <bk>
      <extLst>
        <ext uri="{3e2802c4-a4d2-4d8b-9148-e3be6c30e623}">
          <xlrd:rvb i="468"/>
        </ext>
      </extLst>
    </bk>
    <bk>
      <extLst>
        <ext uri="{3e2802c4-a4d2-4d8b-9148-e3be6c30e623}">
          <xlrd:rvb i="469"/>
        </ext>
      </extLst>
    </bk>
    <bk>
      <extLst>
        <ext uri="{3e2802c4-a4d2-4d8b-9148-e3be6c30e623}">
          <xlrd:rvb i="470"/>
        </ext>
      </extLst>
    </bk>
    <bk>
      <extLst>
        <ext uri="{3e2802c4-a4d2-4d8b-9148-e3be6c30e623}">
          <xlrd:rvb i="471"/>
        </ext>
      </extLst>
    </bk>
    <bk>
      <extLst>
        <ext uri="{3e2802c4-a4d2-4d8b-9148-e3be6c30e623}">
          <xlrd:rvb i="472"/>
        </ext>
      </extLst>
    </bk>
    <bk>
      <extLst>
        <ext uri="{3e2802c4-a4d2-4d8b-9148-e3be6c30e623}">
          <xlrd:rvb i="473"/>
        </ext>
      </extLst>
    </bk>
    <bk>
      <extLst>
        <ext uri="{3e2802c4-a4d2-4d8b-9148-e3be6c30e623}">
          <xlrd:rvb i="474"/>
        </ext>
      </extLst>
    </bk>
    <bk>
      <extLst>
        <ext uri="{3e2802c4-a4d2-4d8b-9148-e3be6c30e623}">
          <xlrd:rvb i="475"/>
        </ext>
      </extLst>
    </bk>
    <bk>
      <extLst>
        <ext uri="{3e2802c4-a4d2-4d8b-9148-e3be6c30e623}">
          <xlrd:rvb i="476"/>
        </ext>
      </extLst>
    </bk>
    <bk>
      <extLst>
        <ext uri="{3e2802c4-a4d2-4d8b-9148-e3be6c30e623}">
          <xlrd:rvb i="477"/>
        </ext>
      </extLst>
    </bk>
    <bk>
      <extLst>
        <ext uri="{3e2802c4-a4d2-4d8b-9148-e3be6c30e623}">
          <xlrd:rvb i="478"/>
        </ext>
      </extLst>
    </bk>
    <bk>
      <extLst>
        <ext uri="{3e2802c4-a4d2-4d8b-9148-e3be6c30e623}">
          <xlrd:rvb i="479"/>
        </ext>
      </extLst>
    </bk>
    <bk>
      <extLst>
        <ext uri="{3e2802c4-a4d2-4d8b-9148-e3be6c30e623}">
          <xlrd:rvb i="480"/>
        </ext>
      </extLst>
    </bk>
    <bk>
      <extLst>
        <ext uri="{3e2802c4-a4d2-4d8b-9148-e3be6c30e623}">
          <xlrd:rvb i="481"/>
        </ext>
      </extLst>
    </bk>
    <bk>
      <extLst>
        <ext uri="{3e2802c4-a4d2-4d8b-9148-e3be6c30e623}">
          <xlrd:rvb i="482"/>
        </ext>
      </extLst>
    </bk>
    <bk>
      <extLst>
        <ext uri="{3e2802c4-a4d2-4d8b-9148-e3be6c30e623}">
          <xlrd:rvb i="483"/>
        </ext>
      </extLst>
    </bk>
    <bk>
      <extLst>
        <ext uri="{3e2802c4-a4d2-4d8b-9148-e3be6c30e623}">
          <xlrd:rvb i="484"/>
        </ext>
      </extLst>
    </bk>
    <bk>
      <extLst>
        <ext uri="{3e2802c4-a4d2-4d8b-9148-e3be6c30e623}">
          <xlrd:rvb i="485"/>
        </ext>
      </extLst>
    </bk>
    <bk>
      <extLst>
        <ext uri="{3e2802c4-a4d2-4d8b-9148-e3be6c30e623}">
          <xlrd:rvb i="486"/>
        </ext>
      </extLst>
    </bk>
    <bk>
      <extLst>
        <ext uri="{3e2802c4-a4d2-4d8b-9148-e3be6c30e623}">
          <xlrd:rvb i="487"/>
        </ext>
      </extLst>
    </bk>
    <bk>
      <extLst>
        <ext uri="{3e2802c4-a4d2-4d8b-9148-e3be6c30e623}">
          <xlrd:rvb i="488"/>
        </ext>
      </extLst>
    </bk>
    <bk>
      <extLst>
        <ext uri="{3e2802c4-a4d2-4d8b-9148-e3be6c30e623}">
          <xlrd:rvb i="489"/>
        </ext>
      </extLst>
    </bk>
    <bk>
      <extLst>
        <ext uri="{3e2802c4-a4d2-4d8b-9148-e3be6c30e623}">
          <xlrd:rvb i="490"/>
        </ext>
      </extLst>
    </bk>
    <bk>
      <extLst>
        <ext uri="{3e2802c4-a4d2-4d8b-9148-e3be6c30e623}">
          <xlrd:rvb i="491"/>
        </ext>
      </extLst>
    </bk>
    <bk>
      <extLst>
        <ext uri="{3e2802c4-a4d2-4d8b-9148-e3be6c30e623}">
          <xlrd:rvb i="492"/>
        </ext>
      </extLst>
    </bk>
    <bk>
      <extLst>
        <ext uri="{3e2802c4-a4d2-4d8b-9148-e3be6c30e623}">
          <xlrd:rvb i="493"/>
        </ext>
      </extLst>
    </bk>
    <bk>
      <extLst>
        <ext uri="{3e2802c4-a4d2-4d8b-9148-e3be6c30e623}">
          <xlrd:rvb i="494"/>
        </ext>
      </extLst>
    </bk>
    <bk>
      <extLst>
        <ext uri="{3e2802c4-a4d2-4d8b-9148-e3be6c30e623}">
          <xlrd:rvb i="495"/>
        </ext>
      </extLst>
    </bk>
    <bk>
      <extLst>
        <ext uri="{3e2802c4-a4d2-4d8b-9148-e3be6c30e623}">
          <xlrd:rvb i="496"/>
        </ext>
      </extLst>
    </bk>
    <bk>
      <extLst>
        <ext uri="{3e2802c4-a4d2-4d8b-9148-e3be6c30e623}">
          <xlrd:rvb i="497"/>
        </ext>
      </extLst>
    </bk>
    <bk>
      <extLst>
        <ext uri="{3e2802c4-a4d2-4d8b-9148-e3be6c30e623}">
          <xlrd:rvb i="498"/>
        </ext>
      </extLst>
    </bk>
    <bk>
      <extLst>
        <ext uri="{3e2802c4-a4d2-4d8b-9148-e3be6c30e623}">
          <xlrd:rvb i="499"/>
        </ext>
      </extLst>
    </bk>
    <bk>
      <extLst>
        <ext uri="{3e2802c4-a4d2-4d8b-9148-e3be6c30e623}">
          <xlrd:rvb i="500"/>
        </ext>
      </extLst>
    </bk>
    <bk>
      <extLst>
        <ext uri="{3e2802c4-a4d2-4d8b-9148-e3be6c30e623}">
          <xlrd:rvb i="501"/>
        </ext>
      </extLst>
    </bk>
    <bk>
      <extLst>
        <ext uri="{3e2802c4-a4d2-4d8b-9148-e3be6c30e623}">
          <xlrd:rvb i="502"/>
        </ext>
      </extLst>
    </bk>
    <bk>
      <extLst>
        <ext uri="{3e2802c4-a4d2-4d8b-9148-e3be6c30e623}">
          <xlrd:rvb i="503"/>
        </ext>
      </extLst>
    </bk>
    <bk>
      <extLst>
        <ext uri="{3e2802c4-a4d2-4d8b-9148-e3be6c30e623}">
          <xlrd:rvb i="504"/>
        </ext>
      </extLst>
    </bk>
    <bk>
      <extLst>
        <ext uri="{3e2802c4-a4d2-4d8b-9148-e3be6c30e623}">
          <xlrd:rvb i="505"/>
        </ext>
      </extLst>
    </bk>
    <bk>
      <extLst>
        <ext uri="{3e2802c4-a4d2-4d8b-9148-e3be6c30e623}">
          <xlrd:rvb i="506"/>
        </ext>
      </extLst>
    </bk>
    <bk>
      <extLst>
        <ext uri="{3e2802c4-a4d2-4d8b-9148-e3be6c30e623}">
          <xlrd:rvb i="507"/>
        </ext>
      </extLst>
    </bk>
    <bk>
      <extLst>
        <ext uri="{3e2802c4-a4d2-4d8b-9148-e3be6c30e623}">
          <xlrd:rvb i="508"/>
        </ext>
      </extLst>
    </bk>
    <bk>
      <extLst>
        <ext uri="{3e2802c4-a4d2-4d8b-9148-e3be6c30e623}">
          <xlrd:rvb i="509"/>
        </ext>
      </extLst>
    </bk>
    <bk>
      <extLst>
        <ext uri="{3e2802c4-a4d2-4d8b-9148-e3be6c30e623}">
          <xlrd:rvb i="510"/>
        </ext>
      </extLst>
    </bk>
    <bk>
      <extLst>
        <ext uri="{3e2802c4-a4d2-4d8b-9148-e3be6c30e623}">
          <xlrd:rvb i="511"/>
        </ext>
      </extLst>
    </bk>
    <bk>
      <extLst>
        <ext uri="{3e2802c4-a4d2-4d8b-9148-e3be6c30e623}">
          <xlrd:rvb i="512"/>
        </ext>
      </extLst>
    </bk>
    <bk>
      <extLst>
        <ext uri="{3e2802c4-a4d2-4d8b-9148-e3be6c30e623}">
          <xlrd:rvb i="513"/>
        </ext>
      </extLst>
    </bk>
    <bk>
      <extLst>
        <ext uri="{3e2802c4-a4d2-4d8b-9148-e3be6c30e623}">
          <xlrd:rvb i="514"/>
        </ext>
      </extLst>
    </bk>
    <bk>
      <extLst>
        <ext uri="{3e2802c4-a4d2-4d8b-9148-e3be6c30e623}">
          <xlrd:rvb i="515"/>
        </ext>
      </extLst>
    </bk>
    <bk>
      <extLst>
        <ext uri="{3e2802c4-a4d2-4d8b-9148-e3be6c30e623}">
          <xlrd:rvb i="516"/>
        </ext>
      </extLst>
    </bk>
    <bk>
      <extLst>
        <ext uri="{3e2802c4-a4d2-4d8b-9148-e3be6c30e623}">
          <xlrd:rvb i="517"/>
        </ext>
      </extLst>
    </bk>
    <bk>
      <extLst>
        <ext uri="{3e2802c4-a4d2-4d8b-9148-e3be6c30e623}">
          <xlrd:rvb i="518"/>
        </ext>
      </extLst>
    </bk>
    <bk>
      <extLst>
        <ext uri="{3e2802c4-a4d2-4d8b-9148-e3be6c30e623}">
          <xlrd:rvb i="519"/>
        </ext>
      </extLst>
    </bk>
    <bk>
      <extLst>
        <ext uri="{3e2802c4-a4d2-4d8b-9148-e3be6c30e623}">
          <xlrd:rvb i="520"/>
        </ext>
      </extLst>
    </bk>
    <bk>
      <extLst>
        <ext uri="{3e2802c4-a4d2-4d8b-9148-e3be6c30e623}">
          <xlrd:rvb i="521"/>
        </ext>
      </extLst>
    </bk>
    <bk>
      <extLst>
        <ext uri="{3e2802c4-a4d2-4d8b-9148-e3be6c30e623}">
          <xlrd:rvb i="522"/>
        </ext>
      </extLst>
    </bk>
    <bk>
      <extLst>
        <ext uri="{3e2802c4-a4d2-4d8b-9148-e3be6c30e623}">
          <xlrd:rvb i="523"/>
        </ext>
      </extLst>
    </bk>
    <bk>
      <extLst>
        <ext uri="{3e2802c4-a4d2-4d8b-9148-e3be6c30e623}">
          <xlrd:rvb i="524"/>
        </ext>
      </extLst>
    </bk>
    <bk>
      <extLst>
        <ext uri="{3e2802c4-a4d2-4d8b-9148-e3be6c30e623}">
          <xlrd:rvb i="525"/>
        </ext>
      </extLst>
    </bk>
    <bk>
      <extLst>
        <ext uri="{3e2802c4-a4d2-4d8b-9148-e3be6c30e623}">
          <xlrd:rvb i="526"/>
        </ext>
      </extLst>
    </bk>
    <bk>
      <extLst>
        <ext uri="{3e2802c4-a4d2-4d8b-9148-e3be6c30e623}">
          <xlrd:rvb i="527"/>
        </ext>
      </extLst>
    </bk>
    <bk>
      <extLst>
        <ext uri="{3e2802c4-a4d2-4d8b-9148-e3be6c30e623}">
          <xlrd:rvb i="528"/>
        </ext>
      </extLst>
    </bk>
    <bk>
      <extLst>
        <ext uri="{3e2802c4-a4d2-4d8b-9148-e3be6c30e623}">
          <xlrd:rvb i="529"/>
        </ext>
      </extLst>
    </bk>
    <bk>
      <extLst>
        <ext uri="{3e2802c4-a4d2-4d8b-9148-e3be6c30e623}">
          <xlrd:rvb i="530"/>
        </ext>
      </extLst>
    </bk>
    <bk>
      <extLst>
        <ext uri="{3e2802c4-a4d2-4d8b-9148-e3be6c30e623}">
          <xlrd:rvb i="531"/>
        </ext>
      </extLst>
    </bk>
    <bk>
      <extLst>
        <ext uri="{3e2802c4-a4d2-4d8b-9148-e3be6c30e623}">
          <xlrd:rvb i="532"/>
        </ext>
      </extLst>
    </bk>
    <bk>
      <extLst>
        <ext uri="{3e2802c4-a4d2-4d8b-9148-e3be6c30e623}">
          <xlrd:rvb i="533"/>
        </ext>
      </extLst>
    </bk>
    <bk>
      <extLst>
        <ext uri="{3e2802c4-a4d2-4d8b-9148-e3be6c30e623}">
          <xlrd:rvb i="534"/>
        </ext>
      </extLst>
    </bk>
    <bk>
      <extLst>
        <ext uri="{3e2802c4-a4d2-4d8b-9148-e3be6c30e623}">
          <xlrd:rvb i="535"/>
        </ext>
      </extLst>
    </bk>
    <bk>
      <extLst>
        <ext uri="{3e2802c4-a4d2-4d8b-9148-e3be6c30e623}">
          <xlrd:rvb i="536"/>
        </ext>
      </extLst>
    </bk>
    <bk>
      <extLst>
        <ext uri="{3e2802c4-a4d2-4d8b-9148-e3be6c30e623}">
          <xlrd:rvb i="537"/>
        </ext>
      </extLst>
    </bk>
    <bk>
      <extLst>
        <ext uri="{3e2802c4-a4d2-4d8b-9148-e3be6c30e623}">
          <xlrd:rvb i="538"/>
        </ext>
      </extLst>
    </bk>
    <bk>
      <extLst>
        <ext uri="{3e2802c4-a4d2-4d8b-9148-e3be6c30e623}">
          <xlrd:rvb i="539"/>
        </ext>
      </extLst>
    </bk>
    <bk>
      <extLst>
        <ext uri="{3e2802c4-a4d2-4d8b-9148-e3be6c30e623}">
          <xlrd:rvb i="540"/>
        </ext>
      </extLst>
    </bk>
    <bk>
      <extLst>
        <ext uri="{3e2802c4-a4d2-4d8b-9148-e3be6c30e623}">
          <xlrd:rvb i="541"/>
        </ext>
      </extLst>
    </bk>
    <bk>
      <extLst>
        <ext uri="{3e2802c4-a4d2-4d8b-9148-e3be6c30e623}">
          <xlrd:rvb i="542"/>
        </ext>
      </extLst>
    </bk>
    <bk>
      <extLst>
        <ext uri="{3e2802c4-a4d2-4d8b-9148-e3be6c30e623}">
          <xlrd:rvb i="543"/>
        </ext>
      </extLst>
    </bk>
    <bk>
      <extLst>
        <ext uri="{3e2802c4-a4d2-4d8b-9148-e3be6c30e623}">
          <xlrd:rvb i="544"/>
        </ext>
      </extLst>
    </bk>
    <bk>
      <extLst>
        <ext uri="{3e2802c4-a4d2-4d8b-9148-e3be6c30e623}">
          <xlrd:rvb i="545"/>
        </ext>
      </extLst>
    </bk>
    <bk>
      <extLst>
        <ext uri="{3e2802c4-a4d2-4d8b-9148-e3be6c30e623}">
          <xlrd:rvb i="546"/>
        </ext>
      </extLst>
    </bk>
    <bk>
      <extLst>
        <ext uri="{3e2802c4-a4d2-4d8b-9148-e3be6c30e623}">
          <xlrd:rvb i="547"/>
        </ext>
      </extLst>
    </bk>
    <bk>
      <extLst>
        <ext uri="{3e2802c4-a4d2-4d8b-9148-e3be6c30e623}">
          <xlrd:rvb i="548"/>
        </ext>
      </extLst>
    </bk>
    <bk>
      <extLst>
        <ext uri="{3e2802c4-a4d2-4d8b-9148-e3be6c30e623}">
          <xlrd:rvb i="549"/>
        </ext>
      </extLst>
    </bk>
    <bk>
      <extLst>
        <ext uri="{3e2802c4-a4d2-4d8b-9148-e3be6c30e623}">
          <xlrd:rvb i="550"/>
        </ext>
      </extLst>
    </bk>
    <bk>
      <extLst>
        <ext uri="{3e2802c4-a4d2-4d8b-9148-e3be6c30e623}">
          <xlrd:rvb i="551"/>
        </ext>
      </extLst>
    </bk>
    <bk>
      <extLst>
        <ext uri="{3e2802c4-a4d2-4d8b-9148-e3be6c30e623}">
          <xlrd:rvb i="552"/>
        </ext>
      </extLst>
    </bk>
    <bk>
      <extLst>
        <ext uri="{3e2802c4-a4d2-4d8b-9148-e3be6c30e623}">
          <xlrd:rvb i="553"/>
        </ext>
      </extLst>
    </bk>
    <bk>
      <extLst>
        <ext uri="{3e2802c4-a4d2-4d8b-9148-e3be6c30e623}">
          <xlrd:rvb i="554"/>
        </ext>
      </extLst>
    </bk>
    <bk>
      <extLst>
        <ext uri="{3e2802c4-a4d2-4d8b-9148-e3be6c30e623}">
          <xlrd:rvb i="555"/>
        </ext>
      </extLst>
    </bk>
    <bk>
      <extLst>
        <ext uri="{3e2802c4-a4d2-4d8b-9148-e3be6c30e623}">
          <xlrd:rvb i="556"/>
        </ext>
      </extLst>
    </bk>
    <bk>
      <extLst>
        <ext uri="{3e2802c4-a4d2-4d8b-9148-e3be6c30e623}">
          <xlrd:rvb i="557"/>
        </ext>
      </extLst>
    </bk>
    <bk>
      <extLst>
        <ext uri="{3e2802c4-a4d2-4d8b-9148-e3be6c30e623}">
          <xlrd:rvb i="558"/>
        </ext>
      </extLst>
    </bk>
    <bk>
      <extLst>
        <ext uri="{3e2802c4-a4d2-4d8b-9148-e3be6c30e623}">
          <xlrd:rvb i="559"/>
        </ext>
      </extLst>
    </bk>
    <bk>
      <extLst>
        <ext uri="{3e2802c4-a4d2-4d8b-9148-e3be6c30e623}">
          <xlrd:rvb i="560"/>
        </ext>
      </extLst>
    </bk>
    <bk>
      <extLst>
        <ext uri="{3e2802c4-a4d2-4d8b-9148-e3be6c30e623}">
          <xlrd:rvb i="561"/>
        </ext>
      </extLst>
    </bk>
    <bk>
      <extLst>
        <ext uri="{3e2802c4-a4d2-4d8b-9148-e3be6c30e623}">
          <xlrd:rvb i="562"/>
        </ext>
      </extLst>
    </bk>
    <bk>
      <extLst>
        <ext uri="{3e2802c4-a4d2-4d8b-9148-e3be6c30e623}">
          <xlrd:rvb i="563"/>
        </ext>
      </extLst>
    </bk>
    <bk>
      <extLst>
        <ext uri="{3e2802c4-a4d2-4d8b-9148-e3be6c30e623}">
          <xlrd:rvb i="564"/>
        </ext>
      </extLst>
    </bk>
    <bk>
      <extLst>
        <ext uri="{3e2802c4-a4d2-4d8b-9148-e3be6c30e623}">
          <xlrd:rvb i="565"/>
        </ext>
      </extLst>
    </bk>
    <bk>
      <extLst>
        <ext uri="{3e2802c4-a4d2-4d8b-9148-e3be6c30e623}">
          <xlrd:rvb i="566"/>
        </ext>
      </extLst>
    </bk>
    <bk>
      <extLst>
        <ext uri="{3e2802c4-a4d2-4d8b-9148-e3be6c30e623}">
          <xlrd:rvb i="567"/>
        </ext>
      </extLst>
    </bk>
    <bk>
      <extLst>
        <ext uri="{3e2802c4-a4d2-4d8b-9148-e3be6c30e623}">
          <xlrd:rvb i="568"/>
        </ext>
      </extLst>
    </bk>
    <bk>
      <extLst>
        <ext uri="{3e2802c4-a4d2-4d8b-9148-e3be6c30e623}">
          <xlrd:rvb i="569"/>
        </ext>
      </extLst>
    </bk>
    <bk>
      <extLst>
        <ext uri="{3e2802c4-a4d2-4d8b-9148-e3be6c30e623}">
          <xlrd:rvb i="570"/>
        </ext>
      </extLst>
    </bk>
    <bk>
      <extLst>
        <ext uri="{3e2802c4-a4d2-4d8b-9148-e3be6c30e623}">
          <xlrd:rvb i="571"/>
        </ext>
      </extLst>
    </bk>
    <bk>
      <extLst>
        <ext uri="{3e2802c4-a4d2-4d8b-9148-e3be6c30e623}">
          <xlrd:rvb i="572"/>
        </ext>
      </extLst>
    </bk>
    <bk>
      <extLst>
        <ext uri="{3e2802c4-a4d2-4d8b-9148-e3be6c30e623}">
          <xlrd:rvb i="573"/>
        </ext>
      </extLst>
    </bk>
    <bk>
      <extLst>
        <ext uri="{3e2802c4-a4d2-4d8b-9148-e3be6c30e623}">
          <xlrd:rvb i="574"/>
        </ext>
      </extLst>
    </bk>
    <bk>
      <extLst>
        <ext uri="{3e2802c4-a4d2-4d8b-9148-e3be6c30e623}">
          <xlrd:rvb i="575"/>
        </ext>
      </extLst>
    </bk>
    <bk>
      <extLst>
        <ext uri="{3e2802c4-a4d2-4d8b-9148-e3be6c30e623}">
          <xlrd:rvb i="576"/>
        </ext>
      </extLst>
    </bk>
    <bk>
      <extLst>
        <ext uri="{3e2802c4-a4d2-4d8b-9148-e3be6c30e623}">
          <xlrd:rvb i="577"/>
        </ext>
      </extLst>
    </bk>
    <bk>
      <extLst>
        <ext uri="{3e2802c4-a4d2-4d8b-9148-e3be6c30e623}">
          <xlrd:rvb i="578"/>
        </ext>
      </extLst>
    </bk>
    <bk>
      <extLst>
        <ext uri="{3e2802c4-a4d2-4d8b-9148-e3be6c30e623}">
          <xlrd:rvb i="579"/>
        </ext>
      </extLst>
    </bk>
    <bk>
      <extLst>
        <ext uri="{3e2802c4-a4d2-4d8b-9148-e3be6c30e623}">
          <xlrd:rvb i="580"/>
        </ext>
      </extLst>
    </bk>
    <bk>
      <extLst>
        <ext uri="{3e2802c4-a4d2-4d8b-9148-e3be6c30e623}">
          <xlrd:rvb i="581"/>
        </ext>
      </extLst>
    </bk>
    <bk>
      <extLst>
        <ext uri="{3e2802c4-a4d2-4d8b-9148-e3be6c30e623}">
          <xlrd:rvb i="582"/>
        </ext>
      </extLst>
    </bk>
    <bk>
      <extLst>
        <ext uri="{3e2802c4-a4d2-4d8b-9148-e3be6c30e623}">
          <xlrd:rvb i="583"/>
        </ext>
      </extLst>
    </bk>
    <bk>
      <extLst>
        <ext uri="{3e2802c4-a4d2-4d8b-9148-e3be6c30e623}">
          <xlrd:rvb i="584"/>
        </ext>
      </extLst>
    </bk>
    <bk>
      <extLst>
        <ext uri="{3e2802c4-a4d2-4d8b-9148-e3be6c30e623}">
          <xlrd:rvb i="585"/>
        </ext>
      </extLst>
    </bk>
    <bk>
      <extLst>
        <ext uri="{3e2802c4-a4d2-4d8b-9148-e3be6c30e623}">
          <xlrd:rvb i="586"/>
        </ext>
      </extLst>
    </bk>
    <bk>
      <extLst>
        <ext uri="{3e2802c4-a4d2-4d8b-9148-e3be6c30e623}">
          <xlrd:rvb i="587"/>
        </ext>
      </extLst>
    </bk>
    <bk>
      <extLst>
        <ext uri="{3e2802c4-a4d2-4d8b-9148-e3be6c30e623}">
          <xlrd:rvb i="588"/>
        </ext>
      </extLst>
    </bk>
    <bk>
      <extLst>
        <ext uri="{3e2802c4-a4d2-4d8b-9148-e3be6c30e623}">
          <xlrd:rvb i="589"/>
        </ext>
      </extLst>
    </bk>
    <bk>
      <extLst>
        <ext uri="{3e2802c4-a4d2-4d8b-9148-e3be6c30e623}">
          <xlrd:rvb i="590"/>
        </ext>
      </extLst>
    </bk>
    <bk>
      <extLst>
        <ext uri="{3e2802c4-a4d2-4d8b-9148-e3be6c30e623}">
          <xlrd:rvb i="591"/>
        </ext>
      </extLst>
    </bk>
    <bk>
      <extLst>
        <ext uri="{3e2802c4-a4d2-4d8b-9148-e3be6c30e623}">
          <xlrd:rvb i="592"/>
        </ext>
      </extLst>
    </bk>
    <bk>
      <extLst>
        <ext uri="{3e2802c4-a4d2-4d8b-9148-e3be6c30e623}">
          <xlrd:rvb i="593"/>
        </ext>
      </extLst>
    </bk>
    <bk>
      <extLst>
        <ext uri="{3e2802c4-a4d2-4d8b-9148-e3be6c30e623}">
          <xlrd:rvb i="594"/>
        </ext>
      </extLst>
    </bk>
    <bk>
      <extLst>
        <ext uri="{3e2802c4-a4d2-4d8b-9148-e3be6c30e623}">
          <xlrd:rvb i="595"/>
        </ext>
      </extLst>
    </bk>
    <bk>
      <extLst>
        <ext uri="{3e2802c4-a4d2-4d8b-9148-e3be6c30e623}">
          <xlrd:rvb i="596"/>
        </ext>
      </extLst>
    </bk>
    <bk>
      <extLst>
        <ext uri="{3e2802c4-a4d2-4d8b-9148-e3be6c30e623}">
          <xlrd:rvb i="597"/>
        </ext>
      </extLst>
    </bk>
    <bk>
      <extLst>
        <ext uri="{3e2802c4-a4d2-4d8b-9148-e3be6c30e623}">
          <xlrd:rvb i="598"/>
        </ext>
      </extLst>
    </bk>
    <bk>
      <extLst>
        <ext uri="{3e2802c4-a4d2-4d8b-9148-e3be6c30e623}">
          <xlrd:rvb i="599"/>
        </ext>
      </extLst>
    </bk>
    <bk>
      <extLst>
        <ext uri="{3e2802c4-a4d2-4d8b-9148-e3be6c30e623}">
          <xlrd:rvb i="600"/>
        </ext>
      </extLst>
    </bk>
    <bk>
      <extLst>
        <ext uri="{3e2802c4-a4d2-4d8b-9148-e3be6c30e623}">
          <xlrd:rvb i="601"/>
        </ext>
      </extLst>
    </bk>
    <bk>
      <extLst>
        <ext uri="{3e2802c4-a4d2-4d8b-9148-e3be6c30e623}">
          <xlrd:rvb i="602"/>
        </ext>
      </extLst>
    </bk>
    <bk>
      <extLst>
        <ext uri="{3e2802c4-a4d2-4d8b-9148-e3be6c30e623}">
          <xlrd:rvb i="603"/>
        </ext>
      </extLst>
    </bk>
    <bk>
      <extLst>
        <ext uri="{3e2802c4-a4d2-4d8b-9148-e3be6c30e623}">
          <xlrd:rvb i="604"/>
        </ext>
      </extLst>
    </bk>
    <bk>
      <extLst>
        <ext uri="{3e2802c4-a4d2-4d8b-9148-e3be6c30e623}">
          <xlrd:rvb i="605"/>
        </ext>
      </extLst>
    </bk>
    <bk>
      <extLst>
        <ext uri="{3e2802c4-a4d2-4d8b-9148-e3be6c30e623}">
          <xlrd:rvb i="606"/>
        </ext>
      </extLst>
    </bk>
    <bk>
      <extLst>
        <ext uri="{3e2802c4-a4d2-4d8b-9148-e3be6c30e623}">
          <xlrd:rvb i="607"/>
        </ext>
      </extLst>
    </bk>
    <bk>
      <extLst>
        <ext uri="{3e2802c4-a4d2-4d8b-9148-e3be6c30e623}">
          <xlrd:rvb i="608"/>
        </ext>
      </extLst>
    </bk>
    <bk>
      <extLst>
        <ext uri="{3e2802c4-a4d2-4d8b-9148-e3be6c30e623}">
          <xlrd:rvb i="609"/>
        </ext>
      </extLst>
    </bk>
    <bk>
      <extLst>
        <ext uri="{3e2802c4-a4d2-4d8b-9148-e3be6c30e623}">
          <xlrd:rvb i="610"/>
        </ext>
      </extLst>
    </bk>
    <bk>
      <extLst>
        <ext uri="{3e2802c4-a4d2-4d8b-9148-e3be6c30e623}">
          <xlrd:rvb i="611"/>
        </ext>
      </extLst>
    </bk>
    <bk>
      <extLst>
        <ext uri="{3e2802c4-a4d2-4d8b-9148-e3be6c30e623}">
          <xlrd:rvb i="612"/>
        </ext>
      </extLst>
    </bk>
    <bk>
      <extLst>
        <ext uri="{3e2802c4-a4d2-4d8b-9148-e3be6c30e623}">
          <xlrd:rvb i="613"/>
        </ext>
      </extLst>
    </bk>
    <bk>
      <extLst>
        <ext uri="{3e2802c4-a4d2-4d8b-9148-e3be6c30e623}">
          <xlrd:rvb i="614"/>
        </ext>
      </extLst>
    </bk>
    <bk>
      <extLst>
        <ext uri="{3e2802c4-a4d2-4d8b-9148-e3be6c30e623}">
          <xlrd:rvb i="615"/>
        </ext>
      </extLst>
    </bk>
    <bk>
      <extLst>
        <ext uri="{3e2802c4-a4d2-4d8b-9148-e3be6c30e623}">
          <xlrd:rvb i="616"/>
        </ext>
      </extLst>
    </bk>
    <bk>
      <extLst>
        <ext uri="{3e2802c4-a4d2-4d8b-9148-e3be6c30e623}">
          <xlrd:rvb i="617"/>
        </ext>
      </extLst>
    </bk>
    <bk>
      <extLst>
        <ext uri="{3e2802c4-a4d2-4d8b-9148-e3be6c30e623}">
          <xlrd:rvb i="618"/>
        </ext>
      </extLst>
    </bk>
    <bk>
      <extLst>
        <ext uri="{3e2802c4-a4d2-4d8b-9148-e3be6c30e623}">
          <xlrd:rvb i="619"/>
        </ext>
      </extLst>
    </bk>
    <bk>
      <extLst>
        <ext uri="{3e2802c4-a4d2-4d8b-9148-e3be6c30e623}">
          <xlrd:rvb i="620"/>
        </ext>
      </extLst>
    </bk>
    <bk>
      <extLst>
        <ext uri="{3e2802c4-a4d2-4d8b-9148-e3be6c30e623}">
          <xlrd:rvb i="621"/>
        </ext>
      </extLst>
    </bk>
    <bk>
      <extLst>
        <ext uri="{3e2802c4-a4d2-4d8b-9148-e3be6c30e623}">
          <xlrd:rvb i="622"/>
        </ext>
      </extLst>
    </bk>
    <bk>
      <extLst>
        <ext uri="{3e2802c4-a4d2-4d8b-9148-e3be6c30e623}">
          <xlrd:rvb i="623"/>
        </ext>
      </extLst>
    </bk>
    <bk>
      <extLst>
        <ext uri="{3e2802c4-a4d2-4d8b-9148-e3be6c30e623}">
          <xlrd:rvb i="624"/>
        </ext>
      </extLst>
    </bk>
    <bk>
      <extLst>
        <ext uri="{3e2802c4-a4d2-4d8b-9148-e3be6c30e623}">
          <xlrd:rvb i="625"/>
        </ext>
      </extLst>
    </bk>
    <bk>
      <extLst>
        <ext uri="{3e2802c4-a4d2-4d8b-9148-e3be6c30e623}">
          <xlrd:rvb i="626"/>
        </ext>
      </extLst>
    </bk>
    <bk>
      <extLst>
        <ext uri="{3e2802c4-a4d2-4d8b-9148-e3be6c30e623}">
          <xlrd:rvb i="627"/>
        </ext>
      </extLst>
    </bk>
    <bk>
      <extLst>
        <ext uri="{3e2802c4-a4d2-4d8b-9148-e3be6c30e623}">
          <xlrd:rvb i="628"/>
        </ext>
      </extLst>
    </bk>
    <bk>
      <extLst>
        <ext uri="{3e2802c4-a4d2-4d8b-9148-e3be6c30e623}">
          <xlrd:rvb i="629"/>
        </ext>
      </extLst>
    </bk>
    <bk>
      <extLst>
        <ext uri="{3e2802c4-a4d2-4d8b-9148-e3be6c30e623}">
          <xlrd:rvb i="630"/>
        </ext>
      </extLst>
    </bk>
    <bk>
      <extLst>
        <ext uri="{3e2802c4-a4d2-4d8b-9148-e3be6c30e623}">
          <xlrd:rvb i="631"/>
        </ext>
      </extLst>
    </bk>
    <bk>
      <extLst>
        <ext uri="{3e2802c4-a4d2-4d8b-9148-e3be6c30e623}">
          <xlrd:rvb i="632"/>
        </ext>
      </extLst>
    </bk>
    <bk>
      <extLst>
        <ext uri="{3e2802c4-a4d2-4d8b-9148-e3be6c30e623}">
          <xlrd:rvb i="633"/>
        </ext>
      </extLst>
    </bk>
    <bk>
      <extLst>
        <ext uri="{3e2802c4-a4d2-4d8b-9148-e3be6c30e623}">
          <xlrd:rvb i="634"/>
        </ext>
      </extLst>
    </bk>
    <bk>
      <extLst>
        <ext uri="{3e2802c4-a4d2-4d8b-9148-e3be6c30e623}">
          <xlrd:rvb i="635"/>
        </ext>
      </extLst>
    </bk>
    <bk>
      <extLst>
        <ext uri="{3e2802c4-a4d2-4d8b-9148-e3be6c30e623}">
          <xlrd:rvb i="636"/>
        </ext>
      </extLst>
    </bk>
    <bk>
      <extLst>
        <ext uri="{3e2802c4-a4d2-4d8b-9148-e3be6c30e623}">
          <xlrd:rvb i="637"/>
        </ext>
      </extLst>
    </bk>
    <bk>
      <extLst>
        <ext uri="{3e2802c4-a4d2-4d8b-9148-e3be6c30e623}">
          <xlrd:rvb i="638"/>
        </ext>
      </extLst>
    </bk>
    <bk>
      <extLst>
        <ext uri="{3e2802c4-a4d2-4d8b-9148-e3be6c30e623}">
          <xlrd:rvb i="639"/>
        </ext>
      </extLst>
    </bk>
    <bk>
      <extLst>
        <ext uri="{3e2802c4-a4d2-4d8b-9148-e3be6c30e623}">
          <xlrd:rvb i="640"/>
        </ext>
      </extLst>
    </bk>
    <bk>
      <extLst>
        <ext uri="{3e2802c4-a4d2-4d8b-9148-e3be6c30e623}">
          <xlrd:rvb i="641"/>
        </ext>
      </extLst>
    </bk>
    <bk>
      <extLst>
        <ext uri="{3e2802c4-a4d2-4d8b-9148-e3be6c30e623}">
          <xlrd:rvb i="642"/>
        </ext>
      </extLst>
    </bk>
    <bk>
      <extLst>
        <ext uri="{3e2802c4-a4d2-4d8b-9148-e3be6c30e623}">
          <xlrd:rvb i="643"/>
        </ext>
      </extLst>
    </bk>
    <bk>
      <extLst>
        <ext uri="{3e2802c4-a4d2-4d8b-9148-e3be6c30e623}">
          <xlrd:rvb i="644"/>
        </ext>
      </extLst>
    </bk>
    <bk>
      <extLst>
        <ext uri="{3e2802c4-a4d2-4d8b-9148-e3be6c30e623}">
          <xlrd:rvb i="645"/>
        </ext>
      </extLst>
    </bk>
    <bk>
      <extLst>
        <ext uri="{3e2802c4-a4d2-4d8b-9148-e3be6c30e623}">
          <xlrd:rvb i="646"/>
        </ext>
      </extLst>
    </bk>
    <bk>
      <extLst>
        <ext uri="{3e2802c4-a4d2-4d8b-9148-e3be6c30e623}">
          <xlrd:rvb i="647"/>
        </ext>
      </extLst>
    </bk>
    <bk>
      <extLst>
        <ext uri="{3e2802c4-a4d2-4d8b-9148-e3be6c30e623}">
          <xlrd:rvb i="648"/>
        </ext>
      </extLst>
    </bk>
    <bk>
      <extLst>
        <ext uri="{3e2802c4-a4d2-4d8b-9148-e3be6c30e623}">
          <xlrd:rvb i="649"/>
        </ext>
      </extLst>
    </bk>
    <bk>
      <extLst>
        <ext uri="{3e2802c4-a4d2-4d8b-9148-e3be6c30e623}">
          <xlrd:rvb i="650"/>
        </ext>
      </extLst>
    </bk>
    <bk>
      <extLst>
        <ext uri="{3e2802c4-a4d2-4d8b-9148-e3be6c30e623}">
          <xlrd:rvb i="651"/>
        </ext>
      </extLst>
    </bk>
    <bk>
      <extLst>
        <ext uri="{3e2802c4-a4d2-4d8b-9148-e3be6c30e623}">
          <xlrd:rvb i="652"/>
        </ext>
      </extLst>
    </bk>
    <bk>
      <extLst>
        <ext uri="{3e2802c4-a4d2-4d8b-9148-e3be6c30e623}">
          <xlrd:rvb i="653"/>
        </ext>
      </extLst>
    </bk>
    <bk>
      <extLst>
        <ext uri="{3e2802c4-a4d2-4d8b-9148-e3be6c30e623}">
          <xlrd:rvb i="654"/>
        </ext>
      </extLst>
    </bk>
    <bk>
      <extLst>
        <ext uri="{3e2802c4-a4d2-4d8b-9148-e3be6c30e623}">
          <xlrd:rvb i="655"/>
        </ext>
      </extLst>
    </bk>
    <bk>
      <extLst>
        <ext uri="{3e2802c4-a4d2-4d8b-9148-e3be6c30e623}">
          <xlrd:rvb i="656"/>
        </ext>
      </extLst>
    </bk>
    <bk>
      <extLst>
        <ext uri="{3e2802c4-a4d2-4d8b-9148-e3be6c30e623}">
          <xlrd:rvb i="657"/>
        </ext>
      </extLst>
    </bk>
    <bk>
      <extLst>
        <ext uri="{3e2802c4-a4d2-4d8b-9148-e3be6c30e623}">
          <xlrd:rvb i="658"/>
        </ext>
      </extLst>
    </bk>
    <bk>
      <extLst>
        <ext uri="{3e2802c4-a4d2-4d8b-9148-e3be6c30e623}">
          <xlrd:rvb i="659"/>
        </ext>
      </extLst>
    </bk>
    <bk>
      <extLst>
        <ext uri="{3e2802c4-a4d2-4d8b-9148-e3be6c30e623}">
          <xlrd:rvb i="660"/>
        </ext>
      </extLst>
    </bk>
    <bk>
      <extLst>
        <ext uri="{3e2802c4-a4d2-4d8b-9148-e3be6c30e623}">
          <xlrd:rvb i="661"/>
        </ext>
      </extLst>
    </bk>
    <bk>
      <extLst>
        <ext uri="{3e2802c4-a4d2-4d8b-9148-e3be6c30e623}">
          <xlrd:rvb i="662"/>
        </ext>
      </extLst>
    </bk>
    <bk>
      <extLst>
        <ext uri="{3e2802c4-a4d2-4d8b-9148-e3be6c30e623}">
          <xlrd:rvb i="663"/>
        </ext>
      </extLst>
    </bk>
    <bk>
      <extLst>
        <ext uri="{3e2802c4-a4d2-4d8b-9148-e3be6c30e623}">
          <xlrd:rvb i="664"/>
        </ext>
      </extLst>
    </bk>
    <bk>
      <extLst>
        <ext uri="{3e2802c4-a4d2-4d8b-9148-e3be6c30e623}">
          <xlrd:rvb i="665"/>
        </ext>
      </extLst>
    </bk>
    <bk>
      <extLst>
        <ext uri="{3e2802c4-a4d2-4d8b-9148-e3be6c30e623}">
          <xlrd:rvb i="666"/>
        </ext>
      </extLst>
    </bk>
    <bk>
      <extLst>
        <ext uri="{3e2802c4-a4d2-4d8b-9148-e3be6c30e623}">
          <xlrd:rvb i="667"/>
        </ext>
      </extLst>
    </bk>
    <bk>
      <extLst>
        <ext uri="{3e2802c4-a4d2-4d8b-9148-e3be6c30e623}">
          <xlrd:rvb i="668"/>
        </ext>
      </extLst>
    </bk>
    <bk>
      <extLst>
        <ext uri="{3e2802c4-a4d2-4d8b-9148-e3be6c30e623}">
          <xlrd:rvb i="669"/>
        </ext>
      </extLst>
    </bk>
    <bk>
      <extLst>
        <ext uri="{3e2802c4-a4d2-4d8b-9148-e3be6c30e623}">
          <xlrd:rvb i="670"/>
        </ext>
      </extLst>
    </bk>
    <bk>
      <extLst>
        <ext uri="{3e2802c4-a4d2-4d8b-9148-e3be6c30e623}">
          <xlrd:rvb i="671"/>
        </ext>
      </extLst>
    </bk>
    <bk>
      <extLst>
        <ext uri="{3e2802c4-a4d2-4d8b-9148-e3be6c30e623}">
          <xlrd:rvb i="672"/>
        </ext>
      </extLst>
    </bk>
    <bk>
      <extLst>
        <ext uri="{3e2802c4-a4d2-4d8b-9148-e3be6c30e623}">
          <xlrd:rvb i="673"/>
        </ext>
      </extLst>
    </bk>
    <bk>
      <extLst>
        <ext uri="{3e2802c4-a4d2-4d8b-9148-e3be6c30e623}">
          <xlrd:rvb i="674"/>
        </ext>
      </extLst>
    </bk>
    <bk>
      <extLst>
        <ext uri="{3e2802c4-a4d2-4d8b-9148-e3be6c30e623}">
          <xlrd:rvb i="675"/>
        </ext>
      </extLst>
    </bk>
    <bk>
      <extLst>
        <ext uri="{3e2802c4-a4d2-4d8b-9148-e3be6c30e623}">
          <xlrd:rvb i="676"/>
        </ext>
      </extLst>
    </bk>
    <bk>
      <extLst>
        <ext uri="{3e2802c4-a4d2-4d8b-9148-e3be6c30e623}">
          <xlrd:rvb i="677"/>
        </ext>
      </extLst>
    </bk>
    <bk>
      <extLst>
        <ext uri="{3e2802c4-a4d2-4d8b-9148-e3be6c30e623}">
          <xlrd:rvb i="678"/>
        </ext>
      </extLst>
    </bk>
    <bk>
      <extLst>
        <ext uri="{3e2802c4-a4d2-4d8b-9148-e3be6c30e623}">
          <xlrd:rvb i="679"/>
        </ext>
      </extLst>
    </bk>
    <bk>
      <extLst>
        <ext uri="{3e2802c4-a4d2-4d8b-9148-e3be6c30e623}">
          <xlrd:rvb i="680"/>
        </ext>
      </extLst>
    </bk>
    <bk>
      <extLst>
        <ext uri="{3e2802c4-a4d2-4d8b-9148-e3be6c30e623}">
          <xlrd:rvb i="681"/>
        </ext>
      </extLst>
    </bk>
    <bk>
      <extLst>
        <ext uri="{3e2802c4-a4d2-4d8b-9148-e3be6c30e623}">
          <xlrd:rvb i="682"/>
        </ext>
      </extLst>
    </bk>
    <bk>
      <extLst>
        <ext uri="{3e2802c4-a4d2-4d8b-9148-e3be6c30e623}">
          <xlrd:rvb i="683"/>
        </ext>
      </extLst>
    </bk>
    <bk>
      <extLst>
        <ext uri="{3e2802c4-a4d2-4d8b-9148-e3be6c30e623}">
          <xlrd:rvb i="684"/>
        </ext>
      </extLst>
    </bk>
    <bk>
      <extLst>
        <ext uri="{3e2802c4-a4d2-4d8b-9148-e3be6c30e623}">
          <xlrd:rvb i="685"/>
        </ext>
      </extLst>
    </bk>
    <bk>
      <extLst>
        <ext uri="{3e2802c4-a4d2-4d8b-9148-e3be6c30e623}">
          <xlrd:rvb i="686"/>
        </ext>
      </extLst>
    </bk>
    <bk>
      <extLst>
        <ext uri="{3e2802c4-a4d2-4d8b-9148-e3be6c30e623}">
          <xlrd:rvb i="687"/>
        </ext>
      </extLst>
    </bk>
    <bk>
      <extLst>
        <ext uri="{3e2802c4-a4d2-4d8b-9148-e3be6c30e623}">
          <xlrd:rvb i="688"/>
        </ext>
      </extLst>
    </bk>
    <bk>
      <extLst>
        <ext uri="{3e2802c4-a4d2-4d8b-9148-e3be6c30e623}">
          <xlrd:rvb i="689"/>
        </ext>
      </extLst>
    </bk>
    <bk>
      <extLst>
        <ext uri="{3e2802c4-a4d2-4d8b-9148-e3be6c30e623}">
          <xlrd:rvb i="690"/>
        </ext>
      </extLst>
    </bk>
    <bk>
      <extLst>
        <ext uri="{3e2802c4-a4d2-4d8b-9148-e3be6c30e623}">
          <xlrd:rvb i="691"/>
        </ext>
      </extLst>
    </bk>
    <bk>
      <extLst>
        <ext uri="{3e2802c4-a4d2-4d8b-9148-e3be6c30e623}">
          <xlrd:rvb i="692"/>
        </ext>
      </extLst>
    </bk>
    <bk>
      <extLst>
        <ext uri="{3e2802c4-a4d2-4d8b-9148-e3be6c30e623}">
          <xlrd:rvb i="693"/>
        </ext>
      </extLst>
    </bk>
    <bk>
      <extLst>
        <ext uri="{3e2802c4-a4d2-4d8b-9148-e3be6c30e623}">
          <xlrd:rvb i="694"/>
        </ext>
      </extLst>
    </bk>
    <bk>
      <extLst>
        <ext uri="{3e2802c4-a4d2-4d8b-9148-e3be6c30e623}">
          <xlrd:rvb i="695"/>
        </ext>
      </extLst>
    </bk>
    <bk>
      <extLst>
        <ext uri="{3e2802c4-a4d2-4d8b-9148-e3be6c30e623}">
          <xlrd:rvb i="696"/>
        </ext>
      </extLst>
    </bk>
    <bk>
      <extLst>
        <ext uri="{3e2802c4-a4d2-4d8b-9148-e3be6c30e623}">
          <xlrd:rvb i="697"/>
        </ext>
      </extLst>
    </bk>
    <bk>
      <extLst>
        <ext uri="{3e2802c4-a4d2-4d8b-9148-e3be6c30e623}">
          <xlrd:rvb i="698"/>
        </ext>
      </extLst>
    </bk>
    <bk>
      <extLst>
        <ext uri="{3e2802c4-a4d2-4d8b-9148-e3be6c30e623}">
          <xlrd:rvb i="699"/>
        </ext>
      </extLst>
    </bk>
    <bk>
      <extLst>
        <ext uri="{3e2802c4-a4d2-4d8b-9148-e3be6c30e623}">
          <xlrd:rvb i="700"/>
        </ext>
      </extLst>
    </bk>
    <bk>
      <extLst>
        <ext uri="{3e2802c4-a4d2-4d8b-9148-e3be6c30e623}">
          <xlrd:rvb i="701"/>
        </ext>
      </extLst>
    </bk>
    <bk>
      <extLst>
        <ext uri="{3e2802c4-a4d2-4d8b-9148-e3be6c30e623}">
          <xlrd:rvb i="702"/>
        </ext>
      </extLst>
    </bk>
    <bk>
      <extLst>
        <ext uri="{3e2802c4-a4d2-4d8b-9148-e3be6c30e623}">
          <xlrd:rvb i="703"/>
        </ext>
      </extLst>
    </bk>
    <bk>
      <extLst>
        <ext uri="{3e2802c4-a4d2-4d8b-9148-e3be6c30e623}">
          <xlrd:rvb i="704"/>
        </ext>
      </extLst>
    </bk>
    <bk>
      <extLst>
        <ext uri="{3e2802c4-a4d2-4d8b-9148-e3be6c30e623}">
          <xlrd:rvb i="705"/>
        </ext>
      </extLst>
    </bk>
    <bk>
      <extLst>
        <ext uri="{3e2802c4-a4d2-4d8b-9148-e3be6c30e623}">
          <xlrd:rvb i="706"/>
        </ext>
      </extLst>
    </bk>
    <bk>
      <extLst>
        <ext uri="{3e2802c4-a4d2-4d8b-9148-e3be6c30e623}">
          <xlrd:rvb i="707"/>
        </ext>
      </extLst>
    </bk>
    <bk>
      <extLst>
        <ext uri="{3e2802c4-a4d2-4d8b-9148-e3be6c30e623}">
          <xlrd:rvb i="708"/>
        </ext>
      </extLst>
    </bk>
    <bk>
      <extLst>
        <ext uri="{3e2802c4-a4d2-4d8b-9148-e3be6c30e623}">
          <xlrd:rvb i="709"/>
        </ext>
      </extLst>
    </bk>
    <bk>
      <extLst>
        <ext uri="{3e2802c4-a4d2-4d8b-9148-e3be6c30e623}">
          <xlrd:rvb i="710"/>
        </ext>
      </extLst>
    </bk>
    <bk>
      <extLst>
        <ext uri="{3e2802c4-a4d2-4d8b-9148-e3be6c30e623}">
          <xlrd:rvb i="711"/>
        </ext>
      </extLst>
    </bk>
    <bk>
      <extLst>
        <ext uri="{3e2802c4-a4d2-4d8b-9148-e3be6c30e623}">
          <xlrd:rvb i="712"/>
        </ext>
      </extLst>
    </bk>
    <bk>
      <extLst>
        <ext uri="{3e2802c4-a4d2-4d8b-9148-e3be6c30e623}">
          <xlrd:rvb i="713"/>
        </ext>
      </extLst>
    </bk>
    <bk>
      <extLst>
        <ext uri="{3e2802c4-a4d2-4d8b-9148-e3be6c30e623}">
          <xlrd:rvb i="714"/>
        </ext>
      </extLst>
    </bk>
    <bk>
      <extLst>
        <ext uri="{3e2802c4-a4d2-4d8b-9148-e3be6c30e623}">
          <xlrd:rvb i="715"/>
        </ext>
      </extLst>
    </bk>
    <bk>
      <extLst>
        <ext uri="{3e2802c4-a4d2-4d8b-9148-e3be6c30e623}">
          <xlrd:rvb i="716"/>
        </ext>
      </extLst>
    </bk>
    <bk>
      <extLst>
        <ext uri="{3e2802c4-a4d2-4d8b-9148-e3be6c30e623}">
          <xlrd:rvb i="717"/>
        </ext>
      </extLst>
    </bk>
    <bk>
      <extLst>
        <ext uri="{3e2802c4-a4d2-4d8b-9148-e3be6c30e623}">
          <xlrd:rvb i="718"/>
        </ext>
      </extLst>
    </bk>
    <bk>
      <extLst>
        <ext uri="{3e2802c4-a4d2-4d8b-9148-e3be6c30e623}">
          <xlrd:rvb i="719"/>
        </ext>
      </extLst>
    </bk>
    <bk>
      <extLst>
        <ext uri="{3e2802c4-a4d2-4d8b-9148-e3be6c30e623}">
          <xlrd:rvb i="720"/>
        </ext>
      </extLst>
    </bk>
    <bk>
      <extLst>
        <ext uri="{3e2802c4-a4d2-4d8b-9148-e3be6c30e623}">
          <xlrd:rvb i="721"/>
        </ext>
      </extLst>
    </bk>
    <bk>
      <extLst>
        <ext uri="{3e2802c4-a4d2-4d8b-9148-e3be6c30e623}">
          <xlrd:rvb i="722"/>
        </ext>
      </extLst>
    </bk>
    <bk>
      <extLst>
        <ext uri="{3e2802c4-a4d2-4d8b-9148-e3be6c30e623}">
          <xlrd:rvb i="723"/>
        </ext>
      </extLst>
    </bk>
    <bk>
      <extLst>
        <ext uri="{3e2802c4-a4d2-4d8b-9148-e3be6c30e623}">
          <xlrd:rvb i="724"/>
        </ext>
      </extLst>
    </bk>
    <bk>
      <extLst>
        <ext uri="{3e2802c4-a4d2-4d8b-9148-e3be6c30e623}">
          <xlrd:rvb i="725"/>
        </ext>
      </extLst>
    </bk>
    <bk>
      <extLst>
        <ext uri="{3e2802c4-a4d2-4d8b-9148-e3be6c30e623}">
          <xlrd:rvb i="726"/>
        </ext>
      </extLst>
    </bk>
    <bk>
      <extLst>
        <ext uri="{3e2802c4-a4d2-4d8b-9148-e3be6c30e623}">
          <xlrd:rvb i="727"/>
        </ext>
      </extLst>
    </bk>
    <bk>
      <extLst>
        <ext uri="{3e2802c4-a4d2-4d8b-9148-e3be6c30e623}">
          <xlrd:rvb i="728"/>
        </ext>
      </extLst>
    </bk>
    <bk>
      <extLst>
        <ext uri="{3e2802c4-a4d2-4d8b-9148-e3be6c30e623}">
          <xlrd:rvb i="729"/>
        </ext>
      </extLst>
    </bk>
    <bk>
      <extLst>
        <ext uri="{3e2802c4-a4d2-4d8b-9148-e3be6c30e623}">
          <xlrd:rvb i="730"/>
        </ext>
      </extLst>
    </bk>
    <bk>
      <extLst>
        <ext uri="{3e2802c4-a4d2-4d8b-9148-e3be6c30e623}">
          <xlrd:rvb i="731"/>
        </ext>
      </extLst>
    </bk>
    <bk>
      <extLst>
        <ext uri="{3e2802c4-a4d2-4d8b-9148-e3be6c30e623}">
          <xlrd:rvb i="732"/>
        </ext>
      </extLst>
    </bk>
    <bk>
      <extLst>
        <ext uri="{3e2802c4-a4d2-4d8b-9148-e3be6c30e623}">
          <xlrd:rvb i="733"/>
        </ext>
      </extLst>
    </bk>
    <bk>
      <extLst>
        <ext uri="{3e2802c4-a4d2-4d8b-9148-e3be6c30e623}">
          <xlrd:rvb i="734"/>
        </ext>
      </extLst>
    </bk>
    <bk>
      <extLst>
        <ext uri="{3e2802c4-a4d2-4d8b-9148-e3be6c30e623}">
          <xlrd:rvb i="735"/>
        </ext>
      </extLst>
    </bk>
    <bk>
      <extLst>
        <ext uri="{3e2802c4-a4d2-4d8b-9148-e3be6c30e623}">
          <xlrd:rvb i="736"/>
        </ext>
      </extLst>
    </bk>
    <bk>
      <extLst>
        <ext uri="{3e2802c4-a4d2-4d8b-9148-e3be6c30e623}">
          <xlrd:rvb i="737"/>
        </ext>
      </extLst>
    </bk>
    <bk>
      <extLst>
        <ext uri="{3e2802c4-a4d2-4d8b-9148-e3be6c30e623}">
          <xlrd:rvb i="738"/>
        </ext>
      </extLst>
    </bk>
    <bk>
      <extLst>
        <ext uri="{3e2802c4-a4d2-4d8b-9148-e3be6c30e623}">
          <xlrd:rvb i="739"/>
        </ext>
      </extLst>
    </bk>
    <bk>
      <extLst>
        <ext uri="{3e2802c4-a4d2-4d8b-9148-e3be6c30e623}">
          <xlrd:rvb i="740"/>
        </ext>
      </extLst>
    </bk>
    <bk>
      <extLst>
        <ext uri="{3e2802c4-a4d2-4d8b-9148-e3be6c30e623}">
          <xlrd:rvb i="741"/>
        </ext>
      </extLst>
    </bk>
    <bk>
      <extLst>
        <ext uri="{3e2802c4-a4d2-4d8b-9148-e3be6c30e623}">
          <xlrd:rvb i="742"/>
        </ext>
      </extLst>
    </bk>
    <bk>
      <extLst>
        <ext uri="{3e2802c4-a4d2-4d8b-9148-e3be6c30e623}">
          <xlrd:rvb i="743"/>
        </ext>
      </extLst>
    </bk>
    <bk>
      <extLst>
        <ext uri="{3e2802c4-a4d2-4d8b-9148-e3be6c30e623}">
          <xlrd:rvb i="744"/>
        </ext>
      </extLst>
    </bk>
    <bk>
      <extLst>
        <ext uri="{3e2802c4-a4d2-4d8b-9148-e3be6c30e623}">
          <xlrd:rvb i="745"/>
        </ext>
      </extLst>
    </bk>
    <bk>
      <extLst>
        <ext uri="{3e2802c4-a4d2-4d8b-9148-e3be6c30e623}">
          <xlrd:rvb i="746"/>
        </ext>
      </extLst>
    </bk>
    <bk>
      <extLst>
        <ext uri="{3e2802c4-a4d2-4d8b-9148-e3be6c30e623}">
          <xlrd:rvb i="747"/>
        </ext>
      </extLst>
    </bk>
    <bk>
      <extLst>
        <ext uri="{3e2802c4-a4d2-4d8b-9148-e3be6c30e623}">
          <xlrd:rvb i="748"/>
        </ext>
      </extLst>
    </bk>
    <bk>
      <extLst>
        <ext uri="{3e2802c4-a4d2-4d8b-9148-e3be6c30e623}">
          <xlrd:rvb i="749"/>
        </ext>
      </extLst>
    </bk>
    <bk>
      <extLst>
        <ext uri="{3e2802c4-a4d2-4d8b-9148-e3be6c30e623}">
          <xlrd:rvb i="750"/>
        </ext>
      </extLst>
    </bk>
    <bk>
      <extLst>
        <ext uri="{3e2802c4-a4d2-4d8b-9148-e3be6c30e623}">
          <xlrd:rvb i="751"/>
        </ext>
      </extLst>
    </bk>
    <bk>
      <extLst>
        <ext uri="{3e2802c4-a4d2-4d8b-9148-e3be6c30e623}">
          <xlrd:rvb i="752"/>
        </ext>
      </extLst>
    </bk>
    <bk>
      <extLst>
        <ext uri="{3e2802c4-a4d2-4d8b-9148-e3be6c30e623}">
          <xlrd:rvb i="753"/>
        </ext>
      </extLst>
    </bk>
    <bk>
      <extLst>
        <ext uri="{3e2802c4-a4d2-4d8b-9148-e3be6c30e623}">
          <xlrd:rvb i="754"/>
        </ext>
      </extLst>
    </bk>
    <bk>
      <extLst>
        <ext uri="{3e2802c4-a4d2-4d8b-9148-e3be6c30e623}">
          <xlrd:rvb i="755"/>
        </ext>
      </extLst>
    </bk>
    <bk>
      <extLst>
        <ext uri="{3e2802c4-a4d2-4d8b-9148-e3be6c30e623}">
          <xlrd:rvb i="756"/>
        </ext>
      </extLst>
    </bk>
    <bk>
      <extLst>
        <ext uri="{3e2802c4-a4d2-4d8b-9148-e3be6c30e623}">
          <xlrd:rvb i="757"/>
        </ext>
      </extLst>
    </bk>
    <bk>
      <extLst>
        <ext uri="{3e2802c4-a4d2-4d8b-9148-e3be6c30e623}">
          <xlrd:rvb i="758"/>
        </ext>
      </extLst>
    </bk>
    <bk>
      <extLst>
        <ext uri="{3e2802c4-a4d2-4d8b-9148-e3be6c30e623}">
          <xlrd:rvb i="759"/>
        </ext>
      </extLst>
    </bk>
    <bk>
      <extLst>
        <ext uri="{3e2802c4-a4d2-4d8b-9148-e3be6c30e623}">
          <xlrd:rvb i="760"/>
        </ext>
      </extLst>
    </bk>
    <bk>
      <extLst>
        <ext uri="{3e2802c4-a4d2-4d8b-9148-e3be6c30e623}">
          <xlrd:rvb i="761"/>
        </ext>
      </extLst>
    </bk>
    <bk>
      <extLst>
        <ext uri="{3e2802c4-a4d2-4d8b-9148-e3be6c30e623}">
          <xlrd:rvb i="762"/>
        </ext>
      </extLst>
    </bk>
    <bk>
      <extLst>
        <ext uri="{3e2802c4-a4d2-4d8b-9148-e3be6c30e623}">
          <xlrd:rvb i="763"/>
        </ext>
      </extLst>
    </bk>
    <bk>
      <extLst>
        <ext uri="{3e2802c4-a4d2-4d8b-9148-e3be6c30e623}">
          <xlrd:rvb i="764"/>
        </ext>
      </extLst>
    </bk>
    <bk>
      <extLst>
        <ext uri="{3e2802c4-a4d2-4d8b-9148-e3be6c30e623}">
          <xlrd:rvb i="765"/>
        </ext>
      </extLst>
    </bk>
    <bk>
      <extLst>
        <ext uri="{3e2802c4-a4d2-4d8b-9148-e3be6c30e623}">
          <xlrd:rvb i="766"/>
        </ext>
      </extLst>
    </bk>
    <bk>
      <extLst>
        <ext uri="{3e2802c4-a4d2-4d8b-9148-e3be6c30e623}">
          <xlrd:rvb i="767"/>
        </ext>
      </extLst>
    </bk>
    <bk>
      <extLst>
        <ext uri="{3e2802c4-a4d2-4d8b-9148-e3be6c30e623}">
          <xlrd:rvb i="768"/>
        </ext>
      </extLst>
    </bk>
    <bk>
      <extLst>
        <ext uri="{3e2802c4-a4d2-4d8b-9148-e3be6c30e623}">
          <xlrd:rvb i="769"/>
        </ext>
      </extLst>
    </bk>
    <bk>
      <extLst>
        <ext uri="{3e2802c4-a4d2-4d8b-9148-e3be6c30e623}">
          <xlrd:rvb i="770"/>
        </ext>
      </extLst>
    </bk>
    <bk>
      <extLst>
        <ext uri="{3e2802c4-a4d2-4d8b-9148-e3be6c30e623}">
          <xlrd:rvb i="771"/>
        </ext>
      </extLst>
    </bk>
    <bk>
      <extLst>
        <ext uri="{3e2802c4-a4d2-4d8b-9148-e3be6c30e623}">
          <xlrd:rvb i="772"/>
        </ext>
      </extLst>
    </bk>
    <bk>
      <extLst>
        <ext uri="{3e2802c4-a4d2-4d8b-9148-e3be6c30e623}">
          <xlrd:rvb i="773"/>
        </ext>
      </extLst>
    </bk>
    <bk>
      <extLst>
        <ext uri="{3e2802c4-a4d2-4d8b-9148-e3be6c30e623}">
          <xlrd:rvb i="774"/>
        </ext>
      </extLst>
    </bk>
    <bk>
      <extLst>
        <ext uri="{3e2802c4-a4d2-4d8b-9148-e3be6c30e623}">
          <xlrd:rvb i="775"/>
        </ext>
      </extLst>
    </bk>
    <bk>
      <extLst>
        <ext uri="{3e2802c4-a4d2-4d8b-9148-e3be6c30e623}">
          <xlrd:rvb i="776"/>
        </ext>
      </extLst>
    </bk>
    <bk>
      <extLst>
        <ext uri="{3e2802c4-a4d2-4d8b-9148-e3be6c30e623}">
          <xlrd:rvb i="777"/>
        </ext>
      </extLst>
    </bk>
    <bk>
      <extLst>
        <ext uri="{3e2802c4-a4d2-4d8b-9148-e3be6c30e623}">
          <xlrd:rvb i="778"/>
        </ext>
      </extLst>
    </bk>
    <bk>
      <extLst>
        <ext uri="{3e2802c4-a4d2-4d8b-9148-e3be6c30e623}">
          <xlrd:rvb i="779"/>
        </ext>
      </extLst>
    </bk>
    <bk>
      <extLst>
        <ext uri="{3e2802c4-a4d2-4d8b-9148-e3be6c30e623}">
          <xlrd:rvb i="780"/>
        </ext>
      </extLst>
    </bk>
    <bk>
      <extLst>
        <ext uri="{3e2802c4-a4d2-4d8b-9148-e3be6c30e623}">
          <xlrd:rvb i="781"/>
        </ext>
      </extLst>
    </bk>
    <bk>
      <extLst>
        <ext uri="{3e2802c4-a4d2-4d8b-9148-e3be6c30e623}">
          <xlrd:rvb i="782"/>
        </ext>
      </extLst>
    </bk>
    <bk>
      <extLst>
        <ext uri="{3e2802c4-a4d2-4d8b-9148-e3be6c30e623}">
          <xlrd:rvb i="783"/>
        </ext>
      </extLst>
    </bk>
    <bk>
      <extLst>
        <ext uri="{3e2802c4-a4d2-4d8b-9148-e3be6c30e623}">
          <xlrd:rvb i="784"/>
        </ext>
      </extLst>
    </bk>
    <bk>
      <extLst>
        <ext uri="{3e2802c4-a4d2-4d8b-9148-e3be6c30e623}">
          <xlrd:rvb i="785"/>
        </ext>
      </extLst>
    </bk>
    <bk>
      <extLst>
        <ext uri="{3e2802c4-a4d2-4d8b-9148-e3be6c30e623}">
          <xlrd:rvb i="786"/>
        </ext>
      </extLst>
    </bk>
    <bk>
      <extLst>
        <ext uri="{3e2802c4-a4d2-4d8b-9148-e3be6c30e623}">
          <xlrd:rvb i="787"/>
        </ext>
      </extLst>
    </bk>
    <bk>
      <extLst>
        <ext uri="{3e2802c4-a4d2-4d8b-9148-e3be6c30e623}">
          <xlrd:rvb i="788"/>
        </ext>
      </extLst>
    </bk>
    <bk>
      <extLst>
        <ext uri="{3e2802c4-a4d2-4d8b-9148-e3be6c30e623}">
          <xlrd:rvb i="789"/>
        </ext>
      </extLst>
    </bk>
    <bk>
      <extLst>
        <ext uri="{3e2802c4-a4d2-4d8b-9148-e3be6c30e623}">
          <xlrd:rvb i="790"/>
        </ext>
      </extLst>
    </bk>
    <bk>
      <extLst>
        <ext uri="{3e2802c4-a4d2-4d8b-9148-e3be6c30e623}">
          <xlrd:rvb i="791"/>
        </ext>
      </extLst>
    </bk>
    <bk>
      <extLst>
        <ext uri="{3e2802c4-a4d2-4d8b-9148-e3be6c30e623}">
          <xlrd:rvb i="792"/>
        </ext>
      </extLst>
    </bk>
    <bk>
      <extLst>
        <ext uri="{3e2802c4-a4d2-4d8b-9148-e3be6c30e623}">
          <xlrd:rvb i="793"/>
        </ext>
      </extLst>
    </bk>
    <bk>
      <extLst>
        <ext uri="{3e2802c4-a4d2-4d8b-9148-e3be6c30e623}">
          <xlrd:rvb i="794"/>
        </ext>
      </extLst>
    </bk>
    <bk>
      <extLst>
        <ext uri="{3e2802c4-a4d2-4d8b-9148-e3be6c30e623}">
          <xlrd:rvb i="795"/>
        </ext>
      </extLst>
    </bk>
    <bk>
      <extLst>
        <ext uri="{3e2802c4-a4d2-4d8b-9148-e3be6c30e623}">
          <xlrd:rvb i="796"/>
        </ext>
      </extLst>
    </bk>
    <bk>
      <extLst>
        <ext uri="{3e2802c4-a4d2-4d8b-9148-e3be6c30e623}">
          <xlrd:rvb i="797"/>
        </ext>
      </extLst>
    </bk>
    <bk>
      <extLst>
        <ext uri="{3e2802c4-a4d2-4d8b-9148-e3be6c30e623}">
          <xlrd:rvb i="798"/>
        </ext>
      </extLst>
    </bk>
    <bk>
      <extLst>
        <ext uri="{3e2802c4-a4d2-4d8b-9148-e3be6c30e623}">
          <xlrd:rvb i="799"/>
        </ext>
      </extLst>
    </bk>
    <bk>
      <extLst>
        <ext uri="{3e2802c4-a4d2-4d8b-9148-e3be6c30e623}">
          <xlrd:rvb i="800"/>
        </ext>
      </extLst>
    </bk>
    <bk>
      <extLst>
        <ext uri="{3e2802c4-a4d2-4d8b-9148-e3be6c30e623}">
          <xlrd:rvb i="801"/>
        </ext>
      </extLst>
    </bk>
    <bk>
      <extLst>
        <ext uri="{3e2802c4-a4d2-4d8b-9148-e3be6c30e623}">
          <xlrd:rvb i="802"/>
        </ext>
      </extLst>
    </bk>
    <bk>
      <extLst>
        <ext uri="{3e2802c4-a4d2-4d8b-9148-e3be6c30e623}">
          <xlrd:rvb i="803"/>
        </ext>
      </extLst>
    </bk>
    <bk>
      <extLst>
        <ext uri="{3e2802c4-a4d2-4d8b-9148-e3be6c30e623}">
          <xlrd:rvb i="804"/>
        </ext>
      </extLst>
    </bk>
    <bk>
      <extLst>
        <ext uri="{3e2802c4-a4d2-4d8b-9148-e3be6c30e623}">
          <xlrd:rvb i="805"/>
        </ext>
      </extLst>
    </bk>
    <bk>
      <extLst>
        <ext uri="{3e2802c4-a4d2-4d8b-9148-e3be6c30e623}">
          <xlrd:rvb i="806"/>
        </ext>
      </extLst>
    </bk>
    <bk>
      <extLst>
        <ext uri="{3e2802c4-a4d2-4d8b-9148-e3be6c30e623}">
          <xlrd:rvb i="807"/>
        </ext>
      </extLst>
    </bk>
    <bk>
      <extLst>
        <ext uri="{3e2802c4-a4d2-4d8b-9148-e3be6c30e623}">
          <xlrd:rvb i="808"/>
        </ext>
      </extLst>
    </bk>
    <bk>
      <extLst>
        <ext uri="{3e2802c4-a4d2-4d8b-9148-e3be6c30e623}">
          <xlrd:rvb i="809"/>
        </ext>
      </extLst>
    </bk>
    <bk>
      <extLst>
        <ext uri="{3e2802c4-a4d2-4d8b-9148-e3be6c30e623}">
          <xlrd:rvb i="810"/>
        </ext>
      </extLst>
    </bk>
    <bk>
      <extLst>
        <ext uri="{3e2802c4-a4d2-4d8b-9148-e3be6c30e623}">
          <xlrd:rvb i="811"/>
        </ext>
      </extLst>
    </bk>
    <bk>
      <extLst>
        <ext uri="{3e2802c4-a4d2-4d8b-9148-e3be6c30e623}">
          <xlrd:rvb i="812"/>
        </ext>
      </extLst>
    </bk>
    <bk>
      <extLst>
        <ext uri="{3e2802c4-a4d2-4d8b-9148-e3be6c30e623}">
          <xlrd:rvb i="813"/>
        </ext>
      </extLst>
    </bk>
    <bk>
      <extLst>
        <ext uri="{3e2802c4-a4d2-4d8b-9148-e3be6c30e623}">
          <xlrd:rvb i="814"/>
        </ext>
      </extLst>
    </bk>
    <bk>
      <extLst>
        <ext uri="{3e2802c4-a4d2-4d8b-9148-e3be6c30e623}">
          <xlrd:rvb i="815"/>
        </ext>
      </extLst>
    </bk>
    <bk>
      <extLst>
        <ext uri="{3e2802c4-a4d2-4d8b-9148-e3be6c30e623}">
          <xlrd:rvb i="816"/>
        </ext>
      </extLst>
    </bk>
    <bk>
      <extLst>
        <ext uri="{3e2802c4-a4d2-4d8b-9148-e3be6c30e623}">
          <xlrd:rvb i="817"/>
        </ext>
      </extLst>
    </bk>
    <bk>
      <extLst>
        <ext uri="{3e2802c4-a4d2-4d8b-9148-e3be6c30e623}">
          <xlrd:rvb i="818"/>
        </ext>
      </extLst>
    </bk>
    <bk>
      <extLst>
        <ext uri="{3e2802c4-a4d2-4d8b-9148-e3be6c30e623}">
          <xlrd:rvb i="819"/>
        </ext>
      </extLst>
    </bk>
    <bk>
      <extLst>
        <ext uri="{3e2802c4-a4d2-4d8b-9148-e3be6c30e623}">
          <xlrd:rvb i="820"/>
        </ext>
      </extLst>
    </bk>
    <bk>
      <extLst>
        <ext uri="{3e2802c4-a4d2-4d8b-9148-e3be6c30e623}">
          <xlrd:rvb i="821"/>
        </ext>
      </extLst>
    </bk>
    <bk>
      <extLst>
        <ext uri="{3e2802c4-a4d2-4d8b-9148-e3be6c30e623}">
          <xlrd:rvb i="822"/>
        </ext>
      </extLst>
    </bk>
    <bk>
      <extLst>
        <ext uri="{3e2802c4-a4d2-4d8b-9148-e3be6c30e623}">
          <xlrd:rvb i="823"/>
        </ext>
      </extLst>
    </bk>
    <bk>
      <extLst>
        <ext uri="{3e2802c4-a4d2-4d8b-9148-e3be6c30e623}">
          <xlrd:rvb i="824"/>
        </ext>
      </extLst>
    </bk>
    <bk>
      <extLst>
        <ext uri="{3e2802c4-a4d2-4d8b-9148-e3be6c30e623}">
          <xlrd:rvb i="825"/>
        </ext>
      </extLst>
    </bk>
    <bk>
      <extLst>
        <ext uri="{3e2802c4-a4d2-4d8b-9148-e3be6c30e623}">
          <xlrd:rvb i="826"/>
        </ext>
      </extLst>
    </bk>
    <bk>
      <extLst>
        <ext uri="{3e2802c4-a4d2-4d8b-9148-e3be6c30e623}">
          <xlrd:rvb i="827"/>
        </ext>
      </extLst>
    </bk>
    <bk>
      <extLst>
        <ext uri="{3e2802c4-a4d2-4d8b-9148-e3be6c30e623}">
          <xlrd:rvb i="828"/>
        </ext>
      </extLst>
    </bk>
    <bk>
      <extLst>
        <ext uri="{3e2802c4-a4d2-4d8b-9148-e3be6c30e623}">
          <xlrd:rvb i="829"/>
        </ext>
      </extLst>
    </bk>
    <bk>
      <extLst>
        <ext uri="{3e2802c4-a4d2-4d8b-9148-e3be6c30e623}">
          <xlrd:rvb i="830"/>
        </ext>
      </extLst>
    </bk>
    <bk>
      <extLst>
        <ext uri="{3e2802c4-a4d2-4d8b-9148-e3be6c30e623}">
          <xlrd:rvb i="831"/>
        </ext>
      </extLst>
    </bk>
    <bk>
      <extLst>
        <ext uri="{3e2802c4-a4d2-4d8b-9148-e3be6c30e623}">
          <xlrd:rvb i="832"/>
        </ext>
      </extLst>
    </bk>
    <bk>
      <extLst>
        <ext uri="{3e2802c4-a4d2-4d8b-9148-e3be6c30e623}">
          <xlrd:rvb i="833"/>
        </ext>
      </extLst>
    </bk>
    <bk>
      <extLst>
        <ext uri="{3e2802c4-a4d2-4d8b-9148-e3be6c30e623}">
          <xlrd:rvb i="834"/>
        </ext>
      </extLst>
    </bk>
    <bk>
      <extLst>
        <ext uri="{3e2802c4-a4d2-4d8b-9148-e3be6c30e623}">
          <xlrd:rvb i="835"/>
        </ext>
      </extLst>
    </bk>
    <bk>
      <extLst>
        <ext uri="{3e2802c4-a4d2-4d8b-9148-e3be6c30e623}">
          <xlrd:rvb i="836"/>
        </ext>
      </extLst>
    </bk>
    <bk>
      <extLst>
        <ext uri="{3e2802c4-a4d2-4d8b-9148-e3be6c30e623}">
          <xlrd:rvb i="837"/>
        </ext>
      </extLst>
    </bk>
    <bk>
      <extLst>
        <ext uri="{3e2802c4-a4d2-4d8b-9148-e3be6c30e623}">
          <xlrd:rvb i="838"/>
        </ext>
      </extLst>
    </bk>
    <bk>
      <extLst>
        <ext uri="{3e2802c4-a4d2-4d8b-9148-e3be6c30e623}">
          <xlrd:rvb i="839"/>
        </ext>
      </extLst>
    </bk>
    <bk>
      <extLst>
        <ext uri="{3e2802c4-a4d2-4d8b-9148-e3be6c30e623}">
          <xlrd:rvb i="840"/>
        </ext>
      </extLst>
    </bk>
    <bk>
      <extLst>
        <ext uri="{3e2802c4-a4d2-4d8b-9148-e3be6c30e623}">
          <xlrd:rvb i="841"/>
        </ext>
      </extLst>
    </bk>
    <bk>
      <extLst>
        <ext uri="{3e2802c4-a4d2-4d8b-9148-e3be6c30e623}">
          <xlrd:rvb i="842"/>
        </ext>
      </extLst>
    </bk>
    <bk>
      <extLst>
        <ext uri="{3e2802c4-a4d2-4d8b-9148-e3be6c30e623}">
          <xlrd:rvb i="843"/>
        </ext>
      </extLst>
    </bk>
    <bk>
      <extLst>
        <ext uri="{3e2802c4-a4d2-4d8b-9148-e3be6c30e623}">
          <xlrd:rvb i="844"/>
        </ext>
      </extLst>
    </bk>
    <bk>
      <extLst>
        <ext uri="{3e2802c4-a4d2-4d8b-9148-e3be6c30e623}">
          <xlrd:rvb i="845"/>
        </ext>
      </extLst>
    </bk>
    <bk>
      <extLst>
        <ext uri="{3e2802c4-a4d2-4d8b-9148-e3be6c30e623}">
          <xlrd:rvb i="846"/>
        </ext>
      </extLst>
    </bk>
    <bk>
      <extLst>
        <ext uri="{3e2802c4-a4d2-4d8b-9148-e3be6c30e623}">
          <xlrd:rvb i="847"/>
        </ext>
      </extLst>
    </bk>
    <bk>
      <extLst>
        <ext uri="{3e2802c4-a4d2-4d8b-9148-e3be6c30e623}">
          <xlrd:rvb i="848"/>
        </ext>
      </extLst>
    </bk>
    <bk>
      <extLst>
        <ext uri="{3e2802c4-a4d2-4d8b-9148-e3be6c30e623}">
          <xlrd:rvb i="849"/>
        </ext>
      </extLst>
    </bk>
    <bk>
      <extLst>
        <ext uri="{3e2802c4-a4d2-4d8b-9148-e3be6c30e623}">
          <xlrd:rvb i="850"/>
        </ext>
      </extLst>
    </bk>
    <bk>
      <extLst>
        <ext uri="{3e2802c4-a4d2-4d8b-9148-e3be6c30e623}">
          <xlrd:rvb i="851"/>
        </ext>
      </extLst>
    </bk>
    <bk>
      <extLst>
        <ext uri="{3e2802c4-a4d2-4d8b-9148-e3be6c30e623}">
          <xlrd:rvb i="852"/>
        </ext>
      </extLst>
    </bk>
    <bk>
      <extLst>
        <ext uri="{3e2802c4-a4d2-4d8b-9148-e3be6c30e623}">
          <xlrd:rvb i="853"/>
        </ext>
      </extLst>
    </bk>
    <bk>
      <extLst>
        <ext uri="{3e2802c4-a4d2-4d8b-9148-e3be6c30e623}">
          <xlrd:rvb i="854"/>
        </ext>
      </extLst>
    </bk>
    <bk>
      <extLst>
        <ext uri="{3e2802c4-a4d2-4d8b-9148-e3be6c30e623}">
          <xlrd:rvb i="855"/>
        </ext>
      </extLst>
    </bk>
    <bk>
      <extLst>
        <ext uri="{3e2802c4-a4d2-4d8b-9148-e3be6c30e623}">
          <xlrd:rvb i="856"/>
        </ext>
      </extLst>
    </bk>
    <bk>
      <extLst>
        <ext uri="{3e2802c4-a4d2-4d8b-9148-e3be6c30e623}">
          <xlrd:rvb i="857"/>
        </ext>
      </extLst>
    </bk>
    <bk>
      <extLst>
        <ext uri="{3e2802c4-a4d2-4d8b-9148-e3be6c30e623}">
          <xlrd:rvb i="858"/>
        </ext>
      </extLst>
    </bk>
    <bk>
      <extLst>
        <ext uri="{3e2802c4-a4d2-4d8b-9148-e3be6c30e623}">
          <xlrd:rvb i="859"/>
        </ext>
      </extLst>
    </bk>
    <bk>
      <extLst>
        <ext uri="{3e2802c4-a4d2-4d8b-9148-e3be6c30e623}">
          <xlrd:rvb i="860"/>
        </ext>
      </extLst>
    </bk>
    <bk>
      <extLst>
        <ext uri="{3e2802c4-a4d2-4d8b-9148-e3be6c30e623}">
          <xlrd:rvb i="861"/>
        </ext>
      </extLst>
    </bk>
    <bk>
      <extLst>
        <ext uri="{3e2802c4-a4d2-4d8b-9148-e3be6c30e623}">
          <xlrd:rvb i="862"/>
        </ext>
      </extLst>
    </bk>
    <bk>
      <extLst>
        <ext uri="{3e2802c4-a4d2-4d8b-9148-e3be6c30e623}">
          <xlrd:rvb i="863"/>
        </ext>
      </extLst>
    </bk>
    <bk>
      <extLst>
        <ext uri="{3e2802c4-a4d2-4d8b-9148-e3be6c30e623}">
          <xlrd:rvb i="864"/>
        </ext>
      </extLst>
    </bk>
    <bk>
      <extLst>
        <ext uri="{3e2802c4-a4d2-4d8b-9148-e3be6c30e623}">
          <xlrd:rvb i="865"/>
        </ext>
      </extLst>
    </bk>
    <bk>
      <extLst>
        <ext uri="{3e2802c4-a4d2-4d8b-9148-e3be6c30e623}">
          <xlrd:rvb i="866"/>
        </ext>
      </extLst>
    </bk>
    <bk>
      <extLst>
        <ext uri="{3e2802c4-a4d2-4d8b-9148-e3be6c30e623}">
          <xlrd:rvb i="867"/>
        </ext>
      </extLst>
    </bk>
    <bk>
      <extLst>
        <ext uri="{3e2802c4-a4d2-4d8b-9148-e3be6c30e623}">
          <xlrd:rvb i="868"/>
        </ext>
      </extLst>
    </bk>
    <bk>
      <extLst>
        <ext uri="{3e2802c4-a4d2-4d8b-9148-e3be6c30e623}">
          <xlrd:rvb i="869"/>
        </ext>
      </extLst>
    </bk>
    <bk>
      <extLst>
        <ext uri="{3e2802c4-a4d2-4d8b-9148-e3be6c30e623}">
          <xlrd:rvb i="870"/>
        </ext>
      </extLst>
    </bk>
    <bk>
      <extLst>
        <ext uri="{3e2802c4-a4d2-4d8b-9148-e3be6c30e623}">
          <xlrd:rvb i="871"/>
        </ext>
      </extLst>
    </bk>
    <bk>
      <extLst>
        <ext uri="{3e2802c4-a4d2-4d8b-9148-e3be6c30e623}">
          <xlrd:rvb i="872"/>
        </ext>
      </extLst>
    </bk>
    <bk>
      <extLst>
        <ext uri="{3e2802c4-a4d2-4d8b-9148-e3be6c30e623}">
          <xlrd:rvb i="873"/>
        </ext>
      </extLst>
    </bk>
    <bk>
      <extLst>
        <ext uri="{3e2802c4-a4d2-4d8b-9148-e3be6c30e623}">
          <xlrd:rvb i="874"/>
        </ext>
      </extLst>
    </bk>
    <bk>
      <extLst>
        <ext uri="{3e2802c4-a4d2-4d8b-9148-e3be6c30e623}">
          <xlrd:rvb i="875"/>
        </ext>
      </extLst>
    </bk>
    <bk>
      <extLst>
        <ext uri="{3e2802c4-a4d2-4d8b-9148-e3be6c30e623}">
          <xlrd:rvb i="876"/>
        </ext>
      </extLst>
    </bk>
    <bk>
      <extLst>
        <ext uri="{3e2802c4-a4d2-4d8b-9148-e3be6c30e623}">
          <xlrd:rvb i="877"/>
        </ext>
      </extLst>
    </bk>
    <bk>
      <extLst>
        <ext uri="{3e2802c4-a4d2-4d8b-9148-e3be6c30e623}">
          <xlrd:rvb i="878"/>
        </ext>
      </extLst>
    </bk>
    <bk>
      <extLst>
        <ext uri="{3e2802c4-a4d2-4d8b-9148-e3be6c30e623}">
          <xlrd:rvb i="879"/>
        </ext>
      </extLst>
    </bk>
    <bk>
      <extLst>
        <ext uri="{3e2802c4-a4d2-4d8b-9148-e3be6c30e623}">
          <xlrd:rvb i="880"/>
        </ext>
      </extLst>
    </bk>
    <bk>
      <extLst>
        <ext uri="{3e2802c4-a4d2-4d8b-9148-e3be6c30e623}">
          <xlrd:rvb i="881"/>
        </ext>
      </extLst>
    </bk>
    <bk>
      <extLst>
        <ext uri="{3e2802c4-a4d2-4d8b-9148-e3be6c30e623}">
          <xlrd:rvb i="882"/>
        </ext>
      </extLst>
    </bk>
    <bk>
      <extLst>
        <ext uri="{3e2802c4-a4d2-4d8b-9148-e3be6c30e623}">
          <xlrd:rvb i="883"/>
        </ext>
      </extLst>
    </bk>
    <bk>
      <extLst>
        <ext uri="{3e2802c4-a4d2-4d8b-9148-e3be6c30e623}">
          <xlrd:rvb i="884"/>
        </ext>
      </extLst>
    </bk>
    <bk>
      <extLst>
        <ext uri="{3e2802c4-a4d2-4d8b-9148-e3be6c30e623}">
          <xlrd:rvb i="885"/>
        </ext>
      </extLst>
    </bk>
    <bk>
      <extLst>
        <ext uri="{3e2802c4-a4d2-4d8b-9148-e3be6c30e623}">
          <xlrd:rvb i="886"/>
        </ext>
      </extLst>
    </bk>
    <bk>
      <extLst>
        <ext uri="{3e2802c4-a4d2-4d8b-9148-e3be6c30e623}">
          <xlrd:rvb i="887"/>
        </ext>
      </extLst>
    </bk>
    <bk>
      <extLst>
        <ext uri="{3e2802c4-a4d2-4d8b-9148-e3be6c30e623}">
          <xlrd:rvb i="888"/>
        </ext>
      </extLst>
    </bk>
    <bk>
      <extLst>
        <ext uri="{3e2802c4-a4d2-4d8b-9148-e3be6c30e623}">
          <xlrd:rvb i="889"/>
        </ext>
      </extLst>
    </bk>
    <bk>
      <extLst>
        <ext uri="{3e2802c4-a4d2-4d8b-9148-e3be6c30e623}">
          <xlrd:rvb i="890"/>
        </ext>
      </extLst>
    </bk>
    <bk>
      <extLst>
        <ext uri="{3e2802c4-a4d2-4d8b-9148-e3be6c30e623}">
          <xlrd:rvb i="891"/>
        </ext>
      </extLst>
    </bk>
    <bk>
      <extLst>
        <ext uri="{3e2802c4-a4d2-4d8b-9148-e3be6c30e623}">
          <xlrd:rvb i="892"/>
        </ext>
      </extLst>
    </bk>
    <bk>
      <extLst>
        <ext uri="{3e2802c4-a4d2-4d8b-9148-e3be6c30e623}">
          <xlrd:rvb i="893"/>
        </ext>
      </extLst>
    </bk>
    <bk>
      <extLst>
        <ext uri="{3e2802c4-a4d2-4d8b-9148-e3be6c30e623}">
          <xlrd:rvb i="894"/>
        </ext>
      </extLst>
    </bk>
    <bk>
      <extLst>
        <ext uri="{3e2802c4-a4d2-4d8b-9148-e3be6c30e623}">
          <xlrd:rvb i="895"/>
        </ext>
      </extLst>
    </bk>
    <bk>
      <extLst>
        <ext uri="{3e2802c4-a4d2-4d8b-9148-e3be6c30e623}">
          <xlrd:rvb i="896"/>
        </ext>
      </extLst>
    </bk>
    <bk>
      <extLst>
        <ext uri="{3e2802c4-a4d2-4d8b-9148-e3be6c30e623}">
          <xlrd:rvb i="897"/>
        </ext>
      </extLst>
    </bk>
    <bk>
      <extLst>
        <ext uri="{3e2802c4-a4d2-4d8b-9148-e3be6c30e623}">
          <xlrd:rvb i="898"/>
        </ext>
      </extLst>
    </bk>
    <bk>
      <extLst>
        <ext uri="{3e2802c4-a4d2-4d8b-9148-e3be6c30e623}">
          <xlrd:rvb i="899"/>
        </ext>
      </extLst>
    </bk>
    <bk>
      <extLst>
        <ext uri="{3e2802c4-a4d2-4d8b-9148-e3be6c30e623}">
          <xlrd:rvb i="900"/>
        </ext>
      </extLst>
    </bk>
    <bk>
      <extLst>
        <ext uri="{3e2802c4-a4d2-4d8b-9148-e3be6c30e623}">
          <xlrd:rvb i="901"/>
        </ext>
      </extLst>
    </bk>
    <bk>
      <extLst>
        <ext uri="{3e2802c4-a4d2-4d8b-9148-e3be6c30e623}">
          <xlrd:rvb i="902"/>
        </ext>
      </extLst>
    </bk>
    <bk>
      <extLst>
        <ext uri="{3e2802c4-a4d2-4d8b-9148-e3be6c30e623}">
          <xlrd:rvb i="903"/>
        </ext>
      </extLst>
    </bk>
    <bk>
      <extLst>
        <ext uri="{3e2802c4-a4d2-4d8b-9148-e3be6c30e623}">
          <xlrd:rvb i="904"/>
        </ext>
      </extLst>
    </bk>
    <bk>
      <extLst>
        <ext uri="{3e2802c4-a4d2-4d8b-9148-e3be6c30e623}">
          <xlrd:rvb i="905"/>
        </ext>
      </extLst>
    </bk>
    <bk>
      <extLst>
        <ext uri="{3e2802c4-a4d2-4d8b-9148-e3be6c30e623}">
          <xlrd:rvb i="906"/>
        </ext>
      </extLst>
    </bk>
    <bk>
      <extLst>
        <ext uri="{3e2802c4-a4d2-4d8b-9148-e3be6c30e623}">
          <xlrd:rvb i="907"/>
        </ext>
      </extLst>
    </bk>
    <bk>
      <extLst>
        <ext uri="{3e2802c4-a4d2-4d8b-9148-e3be6c30e623}">
          <xlrd:rvb i="908"/>
        </ext>
      </extLst>
    </bk>
    <bk>
      <extLst>
        <ext uri="{3e2802c4-a4d2-4d8b-9148-e3be6c30e623}">
          <xlrd:rvb i="909"/>
        </ext>
      </extLst>
    </bk>
    <bk>
      <extLst>
        <ext uri="{3e2802c4-a4d2-4d8b-9148-e3be6c30e623}">
          <xlrd:rvb i="910"/>
        </ext>
      </extLst>
    </bk>
    <bk>
      <extLst>
        <ext uri="{3e2802c4-a4d2-4d8b-9148-e3be6c30e623}">
          <xlrd:rvb i="911"/>
        </ext>
      </extLst>
    </bk>
    <bk>
      <extLst>
        <ext uri="{3e2802c4-a4d2-4d8b-9148-e3be6c30e623}">
          <xlrd:rvb i="912"/>
        </ext>
      </extLst>
    </bk>
    <bk>
      <extLst>
        <ext uri="{3e2802c4-a4d2-4d8b-9148-e3be6c30e623}">
          <xlrd:rvb i="913"/>
        </ext>
      </extLst>
    </bk>
    <bk>
      <extLst>
        <ext uri="{3e2802c4-a4d2-4d8b-9148-e3be6c30e623}">
          <xlrd:rvb i="914"/>
        </ext>
      </extLst>
    </bk>
    <bk>
      <extLst>
        <ext uri="{3e2802c4-a4d2-4d8b-9148-e3be6c30e623}">
          <xlrd:rvb i="915"/>
        </ext>
      </extLst>
    </bk>
    <bk>
      <extLst>
        <ext uri="{3e2802c4-a4d2-4d8b-9148-e3be6c30e623}">
          <xlrd:rvb i="916"/>
        </ext>
      </extLst>
    </bk>
    <bk>
      <extLst>
        <ext uri="{3e2802c4-a4d2-4d8b-9148-e3be6c30e623}">
          <xlrd:rvb i="917"/>
        </ext>
      </extLst>
    </bk>
    <bk>
      <extLst>
        <ext uri="{3e2802c4-a4d2-4d8b-9148-e3be6c30e623}">
          <xlrd:rvb i="918"/>
        </ext>
      </extLst>
    </bk>
    <bk>
      <extLst>
        <ext uri="{3e2802c4-a4d2-4d8b-9148-e3be6c30e623}">
          <xlrd:rvb i="919"/>
        </ext>
      </extLst>
    </bk>
    <bk>
      <extLst>
        <ext uri="{3e2802c4-a4d2-4d8b-9148-e3be6c30e623}">
          <xlrd:rvb i="920"/>
        </ext>
      </extLst>
    </bk>
    <bk>
      <extLst>
        <ext uri="{3e2802c4-a4d2-4d8b-9148-e3be6c30e623}">
          <xlrd:rvb i="921"/>
        </ext>
      </extLst>
    </bk>
    <bk>
      <extLst>
        <ext uri="{3e2802c4-a4d2-4d8b-9148-e3be6c30e623}">
          <xlrd:rvb i="922"/>
        </ext>
      </extLst>
    </bk>
    <bk>
      <extLst>
        <ext uri="{3e2802c4-a4d2-4d8b-9148-e3be6c30e623}">
          <xlrd:rvb i="923"/>
        </ext>
      </extLst>
    </bk>
    <bk>
      <extLst>
        <ext uri="{3e2802c4-a4d2-4d8b-9148-e3be6c30e623}">
          <xlrd:rvb i="924"/>
        </ext>
      </extLst>
    </bk>
    <bk>
      <extLst>
        <ext uri="{3e2802c4-a4d2-4d8b-9148-e3be6c30e623}">
          <xlrd:rvb i="925"/>
        </ext>
      </extLst>
    </bk>
    <bk>
      <extLst>
        <ext uri="{3e2802c4-a4d2-4d8b-9148-e3be6c30e623}">
          <xlrd:rvb i="926"/>
        </ext>
      </extLst>
    </bk>
    <bk>
      <extLst>
        <ext uri="{3e2802c4-a4d2-4d8b-9148-e3be6c30e623}">
          <xlrd:rvb i="927"/>
        </ext>
      </extLst>
    </bk>
    <bk>
      <extLst>
        <ext uri="{3e2802c4-a4d2-4d8b-9148-e3be6c30e623}">
          <xlrd:rvb i="928"/>
        </ext>
      </extLst>
    </bk>
    <bk>
      <extLst>
        <ext uri="{3e2802c4-a4d2-4d8b-9148-e3be6c30e623}">
          <xlrd:rvb i="929"/>
        </ext>
      </extLst>
    </bk>
    <bk>
      <extLst>
        <ext uri="{3e2802c4-a4d2-4d8b-9148-e3be6c30e623}">
          <xlrd:rvb i="930"/>
        </ext>
      </extLst>
    </bk>
    <bk>
      <extLst>
        <ext uri="{3e2802c4-a4d2-4d8b-9148-e3be6c30e623}">
          <xlrd:rvb i="931"/>
        </ext>
      </extLst>
    </bk>
    <bk>
      <extLst>
        <ext uri="{3e2802c4-a4d2-4d8b-9148-e3be6c30e623}">
          <xlrd:rvb i="932"/>
        </ext>
      </extLst>
    </bk>
    <bk>
      <extLst>
        <ext uri="{3e2802c4-a4d2-4d8b-9148-e3be6c30e623}">
          <xlrd:rvb i="933"/>
        </ext>
      </extLst>
    </bk>
    <bk>
      <extLst>
        <ext uri="{3e2802c4-a4d2-4d8b-9148-e3be6c30e623}">
          <xlrd:rvb i="934"/>
        </ext>
      </extLst>
    </bk>
    <bk>
      <extLst>
        <ext uri="{3e2802c4-a4d2-4d8b-9148-e3be6c30e623}">
          <xlrd:rvb i="935"/>
        </ext>
      </extLst>
    </bk>
    <bk>
      <extLst>
        <ext uri="{3e2802c4-a4d2-4d8b-9148-e3be6c30e623}">
          <xlrd:rvb i="936"/>
        </ext>
      </extLst>
    </bk>
    <bk>
      <extLst>
        <ext uri="{3e2802c4-a4d2-4d8b-9148-e3be6c30e623}">
          <xlrd:rvb i="937"/>
        </ext>
      </extLst>
    </bk>
    <bk>
      <extLst>
        <ext uri="{3e2802c4-a4d2-4d8b-9148-e3be6c30e623}">
          <xlrd:rvb i="938"/>
        </ext>
      </extLst>
    </bk>
    <bk>
      <extLst>
        <ext uri="{3e2802c4-a4d2-4d8b-9148-e3be6c30e623}">
          <xlrd:rvb i="939"/>
        </ext>
      </extLst>
    </bk>
    <bk>
      <extLst>
        <ext uri="{3e2802c4-a4d2-4d8b-9148-e3be6c30e623}">
          <xlrd:rvb i="940"/>
        </ext>
      </extLst>
    </bk>
    <bk>
      <extLst>
        <ext uri="{3e2802c4-a4d2-4d8b-9148-e3be6c30e623}">
          <xlrd:rvb i="941"/>
        </ext>
      </extLst>
    </bk>
    <bk>
      <extLst>
        <ext uri="{3e2802c4-a4d2-4d8b-9148-e3be6c30e623}">
          <xlrd:rvb i="942"/>
        </ext>
      </extLst>
    </bk>
    <bk>
      <extLst>
        <ext uri="{3e2802c4-a4d2-4d8b-9148-e3be6c30e623}">
          <xlrd:rvb i="943"/>
        </ext>
      </extLst>
    </bk>
    <bk>
      <extLst>
        <ext uri="{3e2802c4-a4d2-4d8b-9148-e3be6c30e623}">
          <xlrd:rvb i="944"/>
        </ext>
      </extLst>
    </bk>
    <bk>
      <extLst>
        <ext uri="{3e2802c4-a4d2-4d8b-9148-e3be6c30e623}">
          <xlrd:rvb i="945"/>
        </ext>
      </extLst>
    </bk>
    <bk>
      <extLst>
        <ext uri="{3e2802c4-a4d2-4d8b-9148-e3be6c30e623}">
          <xlrd:rvb i="946"/>
        </ext>
      </extLst>
    </bk>
    <bk>
      <extLst>
        <ext uri="{3e2802c4-a4d2-4d8b-9148-e3be6c30e623}">
          <xlrd:rvb i="947"/>
        </ext>
      </extLst>
    </bk>
    <bk>
      <extLst>
        <ext uri="{3e2802c4-a4d2-4d8b-9148-e3be6c30e623}">
          <xlrd:rvb i="948"/>
        </ext>
      </extLst>
    </bk>
    <bk>
      <extLst>
        <ext uri="{3e2802c4-a4d2-4d8b-9148-e3be6c30e623}">
          <xlrd:rvb i="949"/>
        </ext>
      </extLst>
    </bk>
    <bk>
      <extLst>
        <ext uri="{3e2802c4-a4d2-4d8b-9148-e3be6c30e623}">
          <xlrd:rvb i="950"/>
        </ext>
      </extLst>
    </bk>
    <bk>
      <extLst>
        <ext uri="{3e2802c4-a4d2-4d8b-9148-e3be6c30e623}">
          <xlrd:rvb i="951"/>
        </ext>
      </extLst>
    </bk>
    <bk>
      <extLst>
        <ext uri="{3e2802c4-a4d2-4d8b-9148-e3be6c30e623}">
          <xlrd:rvb i="952"/>
        </ext>
      </extLst>
    </bk>
    <bk>
      <extLst>
        <ext uri="{3e2802c4-a4d2-4d8b-9148-e3be6c30e623}">
          <xlrd:rvb i="953"/>
        </ext>
      </extLst>
    </bk>
    <bk>
      <extLst>
        <ext uri="{3e2802c4-a4d2-4d8b-9148-e3be6c30e623}">
          <xlrd:rvb i="954"/>
        </ext>
      </extLst>
    </bk>
    <bk>
      <extLst>
        <ext uri="{3e2802c4-a4d2-4d8b-9148-e3be6c30e623}">
          <xlrd:rvb i="955"/>
        </ext>
      </extLst>
    </bk>
    <bk>
      <extLst>
        <ext uri="{3e2802c4-a4d2-4d8b-9148-e3be6c30e623}">
          <xlrd:rvb i="956"/>
        </ext>
      </extLst>
    </bk>
    <bk>
      <extLst>
        <ext uri="{3e2802c4-a4d2-4d8b-9148-e3be6c30e623}">
          <xlrd:rvb i="957"/>
        </ext>
      </extLst>
    </bk>
    <bk>
      <extLst>
        <ext uri="{3e2802c4-a4d2-4d8b-9148-e3be6c30e623}">
          <xlrd:rvb i="958"/>
        </ext>
      </extLst>
    </bk>
    <bk>
      <extLst>
        <ext uri="{3e2802c4-a4d2-4d8b-9148-e3be6c30e623}">
          <xlrd:rvb i="959"/>
        </ext>
      </extLst>
    </bk>
    <bk>
      <extLst>
        <ext uri="{3e2802c4-a4d2-4d8b-9148-e3be6c30e623}">
          <xlrd:rvb i="960"/>
        </ext>
      </extLst>
    </bk>
    <bk>
      <extLst>
        <ext uri="{3e2802c4-a4d2-4d8b-9148-e3be6c30e623}">
          <xlrd:rvb i="961"/>
        </ext>
      </extLst>
    </bk>
    <bk>
      <extLst>
        <ext uri="{3e2802c4-a4d2-4d8b-9148-e3be6c30e623}">
          <xlrd:rvb i="962"/>
        </ext>
      </extLst>
    </bk>
    <bk>
      <extLst>
        <ext uri="{3e2802c4-a4d2-4d8b-9148-e3be6c30e623}">
          <xlrd:rvb i="963"/>
        </ext>
      </extLst>
    </bk>
    <bk>
      <extLst>
        <ext uri="{3e2802c4-a4d2-4d8b-9148-e3be6c30e623}">
          <xlrd:rvb i="964"/>
        </ext>
      </extLst>
    </bk>
    <bk>
      <extLst>
        <ext uri="{3e2802c4-a4d2-4d8b-9148-e3be6c30e623}">
          <xlrd:rvb i="965"/>
        </ext>
      </extLst>
    </bk>
    <bk>
      <extLst>
        <ext uri="{3e2802c4-a4d2-4d8b-9148-e3be6c30e623}">
          <xlrd:rvb i="966"/>
        </ext>
      </extLst>
    </bk>
    <bk>
      <extLst>
        <ext uri="{3e2802c4-a4d2-4d8b-9148-e3be6c30e623}">
          <xlrd:rvb i="967"/>
        </ext>
      </extLst>
    </bk>
    <bk>
      <extLst>
        <ext uri="{3e2802c4-a4d2-4d8b-9148-e3be6c30e623}">
          <xlrd:rvb i="968"/>
        </ext>
      </extLst>
    </bk>
    <bk>
      <extLst>
        <ext uri="{3e2802c4-a4d2-4d8b-9148-e3be6c30e623}">
          <xlrd:rvb i="969"/>
        </ext>
      </extLst>
    </bk>
    <bk>
      <extLst>
        <ext uri="{3e2802c4-a4d2-4d8b-9148-e3be6c30e623}">
          <xlrd:rvb i="970"/>
        </ext>
      </extLst>
    </bk>
    <bk>
      <extLst>
        <ext uri="{3e2802c4-a4d2-4d8b-9148-e3be6c30e623}">
          <xlrd:rvb i="971"/>
        </ext>
      </extLst>
    </bk>
    <bk>
      <extLst>
        <ext uri="{3e2802c4-a4d2-4d8b-9148-e3be6c30e623}">
          <xlrd:rvb i="972"/>
        </ext>
      </extLst>
    </bk>
    <bk>
      <extLst>
        <ext uri="{3e2802c4-a4d2-4d8b-9148-e3be6c30e623}">
          <xlrd:rvb i="973"/>
        </ext>
      </extLst>
    </bk>
    <bk>
      <extLst>
        <ext uri="{3e2802c4-a4d2-4d8b-9148-e3be6c30e623}">
          <xlrd:rvb i="974"/>
        </ext>
      </extLst>
    </bk>
    <bk>
      <extLst>
        <ext uri="{3e2802c4-a4d2-4d8b-9148-e3be6c30e623}">
          <xlrd:rvb i="975"/>
        </ext>
      </extLst>
    </bk>
    <bk>
      <extLst>
        <ext uri="{3e2802c4-a4d2-4d8b-9148-e3be6c30e623}">
          <xlrd:rvb i="976"/>
        </ext>
      </extLst>
    </bk>
    <bk>
      <extLst>
        <ext uri="{3e2802c4-a4d2-4d8b-9148-e3be6c30e623}">
          <xlrd:rvb i="977"/>
        </ext>
      </extLst>
    </bk>
    <bk>
      <extLst>
        <ext uri="{3e2802c4-a4d2-4d8b-9148-e3be6c30e623}">
          <xlrd:rvb i="978"/>
        </ext>
      </extLst>
    </bk>
    <bk>
      <extLst>
        <ext uri="{3e2802c4-a4d2-4d8b-9148-e3be6c30e623}">
          <xlrd:rvb i="979"/>
        </ext>
      </extLst>
    </bk>
    <bk>
      <extLst>
        <ext uri="{3e2802c4-a4d2-4d8b-9148-e3be6c30e623}">
          <xlrd:rvb i="980"/>
        </ext>
      </extLst>
    </bk>
    <bk>
      <extLst>
        <ext uri="{3e2802c4-a4d2-4d8b-9148-e3be6c30e623}">
          <xlrd:rvb i="981"/>
        </ext>
      </extLst>
    </bk>
    <bk>
      <extLst>
        <ext uri="{3e2802c4-a4d2-4d8b-9148-e3be6c30e623}">
          <xlrd:rvb i="982"/>
        </ext>
      </extLst>
    </bk>
    <bk>
      <extLst>
        <ext uri="{3e2802c4-a4d2-4d8b-9148-e3be6c30e623}">
          <xlrd:rvb i="983"/>
        </ext>
      </extLst>
    </bk>
    <bk>
      <extLst>
        <ext uri="{3e2802c4-a4d2-4d8b-9148-e3be6c30e623}">
          <xlrd:rvb i="984"/>
        </ext>
      </extLst>
    </bk>
    <bk>
      <extLst>
        <ext uri="{3e2802c4-a4d2-4d8b-9148-e3be6c30e623}">
          <xlrd:rvb i="985"/>
        </ext>
      </extLst>
    </bk>
    <bk>
      <extLst>
        <ext uri="{3e2802c4-a4d2-4d8b-9148-e3be6c30e623}">
          <xlrd:rvb i="986"/>
        </ext>
      </extLst>
    </bk>
    <bk>
      <extLst>
        <ext uri="{3e2802c4-a4d2-4d8b-9148-e3be6c30e623}">
          <xlrd:rvb i="987"/>
        </ext>
      </extLst>
    </bk>
    <bk>
      <extLst>
        <ext uri="{3e2802c4-a4d2-4d8b-9148-e3be6c30e623}">
          <xlrd:rvb i="988"/>
        </ext>
      </extLst>
    </bk>
    <bk>
      <extLst>
        <ext uri="{3e2802c4-a4d2-4d8b-9148-e3be6c30e623}">
          <xlrd:rvb i="989"/>
        </ext>
      </extLst>
    </bk>
    <bk>
      <extLst>
        <ext uri="{3e2802c4-a4d2-4d8b-9148-e3be6c30e623}">
          <xlrd:rvb i="990"/>
        </ext>
      </extLst>
    </bk>
    <bk>
      <extLst>
        <ext uri="{3e2802c4-a4d2-4d8b-9148-e3be6c30e623}">
          <xlrd:rvb i="991"/>
        </ext>
      </extLst>
    </bk>
    <bk>
      <extLst>
        <ext uri="{3e2802c4-a4d2-4d8b-9148-e3be6c30e623}">
          <xlrd:rvb i="992"/>
        </ext>
      </extLst>
    </bk>
    <bk>
      <extLst>
        <ext uri="{3e2802c4-a4d2-4d8b-9148-e3be6c30e623}">
          <xlrd:rvb i="993"/>
        </ext>
      </extLst>
    </bk>
    <bk>
      <extLst>
        <ext uri="{3e2802c4-a4d2-4d8b-9148-e3be6c30e623}">
          <xlrd:rvb i="994"/>
        </ext>
      </extLst>
    </bk>
    <bk>
      <extLst>
        <ext uri="{3e2802c4-a4d2-4d8b-9148-e3be6c30e623}">
          <xlrd:rvb i="995"/>
        </ext>
      </extLst>
    </bk>
    <bk>
      <extLst>
        <ext uri="{3e2802c4-a4d2-4d8b-9148-e3be6c30e623}">
          <xlrd:rvb i="996"/>
        </ext>
      </extLst>
    </bk>
    <bk>
      <extLst>
        <ext uri="{3e2802c4-a4d2-4d8b-9148-e3be6c30e623}">
          <xlrd:rvb i="997"/>
        </ext>
      </extLst>
    </bk>
    <bk>
      <extLst>
        <ext uri="{3e2802c4-a4d2-4d8b-9148-e3be6c30e623}">
          <xlrd:rvb i="998"/>
        </ext>
      </extLst>
    </bk>
    <bk>
      <extLst>
        <ext uri="{3e2802c4-a4d2-4d8b-9148-e3be6c30e623}">
          <xlrd:rvb i="999"/>
        </ext>
      </extLst>
    </bk>
    <bk>
      <extLst>
        <ext uri="{3e2802c4-a4d2-4d8b-9148-e3be6c30e623}">
          <xlrd:rvb i="1000"/>
        </ext>
      </extLst>
    </bk>
    <bk>
      <extLst>
        <ext uri="{3e2802c4-a4d2-4d8b-9148-e3be6c30e623}">
          <xlrd:rvb i="1001"/>
        </ext>
      </extLst>
    </bk>
    <bk>
      <extLst>
        <ext uri="{3e2802c4-a4d2-4d8b-9148-e3be6c30e623}">
          <xlrd:rvb i="1002"/>
        </ext>
      </extLst>
    </bk>
    <bk>
      <extLst>
        <ext uri="{3e2802c4-a4d2-4d8b-9148-e3be6c30e623}">
          <xlrd:rvb i="1003"/>
        </ext>
      </extLst>
    </bk>
    <bk>
      <extLst>
        <ext uri="{3e2802c4-a4d2-4d8b-9148-e3be6c30e623}">
          <xlrd:rvb i="1004"/>
        </ext>
      </extLst>
    </bk>
    <bk>
      <extLst>
        <ext uri="{3e2802c4-a4d2-4d8b-9148-e3be6c30e623}">
          <xlrd:rvb i="1005"/>
        </ext>
      </extLst>
    </bk>
    <bk>
      <extLst>
        <ext uri="{3e2802c4-a4d2-4d8b-9148-e3be6c30e623}">
          <xlrd:rvb i="1006"/>
        </ext>
      </extLst>
    </bk>
    <bk>
      <extLst>
        <ext uri="{3e2802c4-a4d2-4d8b-9148-e3be6c30e623}">
          <xlrd:rvb i="1007"/>
        </ext>
      </extLst>
    </bk>
    <bk>
      <extLst>
        <ext uri="{3e2802c4-a4d2-4d8b-9148-e3be6c30e623}">
          <xlrd:rvb i="1008"/>
        </ext>
      </extLst>
    </bk>
    <bk>
      <extLst>
        <ext uri="{3e2802c4-a4d2-4d8b-9148-e3be6c30e623}">
          <xlrd:rvb i="1009"/>
        </ext>
      </extLst>
    </bk>
    <bk>
      <extLst>
        <ext uri="{3e2802c4-a4d2-4d8b-9148-e3be6c30e623}">
          <xlrd:rvb i="1010"/>
        </ext>
      </extLst>
    </bk>
    <bk>
      <extLst>
        <ext uri="{3e2802c4-a4d2-4d8b-9148-e3be6c30e623}">
          <xlrd:rvb i="1011"/>
        </ext>
      </extLst>
    </bk>
    <bk>
      <extLst>
        <ext uri="{3e2802c4-a4d2-4d8b-9148-e3be6c30e623}">
          <xlrd:rvb i="1012"/>
        </ext>
      </extLst>
    </bk>
    <bk>
      <extLst>
        <ext uri="{3e2802c4-a4d2-4d8b-9148-e3be6c30e623}">
          <xlrd:rvb i="1013"/>
        </ext>
      </extLst>
    </bk>
    <bk>
      <extLst>
        <ext uri="{3e2802c4-a4d2-4d8b-9148-e3be6c30e623}">
          <xlrd:rvb i="1014"/>
        </ext>
      </extLst>
    </bk>
    <bk>
      <extLst>
        <ext uri="{3e2802c4-a4d2-4d8b-9148-e3be6c30e623}">
          <xlrd:rvb i="1015"/>
        </ext>
      </extLst>
    </bk>
    <bk>
      <extLst>
        <ext uri="{3e2802c4-a4d2-4d8b-9148-e3be6c30e623}">
          <xlrd:rvb i="1016"/>
        </ext>
      </extLst>
    </bk>
    <bk>
      <extLst>
        <ext uri="{3e2802c4-a4d2-4d8b-9148-e3be6c30e623}">
          <xlrd:rvb i="1017"/>
        </ext>
      </extLst>
    </bk>
    <bk>
      <extLst>
        <ext uri="{3e2802c4-a4d2-4d8b-9148-e3be6c30e623}">
          <xlrd:rvb i="1018"/>
        </ext>
      </extLst>
    </bk>
    <bk>
      <extLst>
        <ext uri="{3e2802c4-a4d2-4d8b-9148-e3be6c30e623}">
          <xlrd:rvb i="1019"/>
        </ext>
      </extLst>
    </bk>
    <bk>
      <extLst>
        <ext uri="{3e2802c4-a4d2-4d8b-9148-e3be6c30e623}">
          <xlrd:rvb i="1020"/>
        </ext>
      </extLst>
    </bk>
    <bk>
      <extLst>
        <ext uri="{3e2802c4-a4d2-4d8b-9148-e3be6c30e623}">
          <xlrd:rvb i="1021"/>
        </ext>
      </extLst>
    </bk>
    <bk>
      <extLst>
        <ext uri="{3e2802c4-a4d2-4d8b-9148-e3be6c30e623}">
          <xlrd:rvb i="1022"/>
        </ext>
      </extLst>
    </bk>
    <bk>
      <extLst>
        <ext uri="{3e2802c4-a4d2-4d8b-9148-e3be6c30e623}">
          <xlrd:rvb i="1023"/>
        </ext>
      </extLst>
    </bk>
    <bk>
      <extLst>
        <ext uri="{3e2802c4-a4d2-4d8b-9148-e3be6c30e623}">
          <xlrd:rvb i="1024"/>
        </ext>
      </extLst>
    </bk>
    <bk>
      <extLst>
        <ext uri="{3e2802c4-a4d2-4d8b-9148-e3be6c30e623}">
          <xlrd:rvb i="1025"/>
        </ext>
      </extLst>
    </bk>
    <bk>
      <extLst>
        <ext uri="{3e2802c4-a4d2-4d8b-9148-e3be6c30e623}">
          <xlrd:rvb i="1026"/>
        </ext>
      </extLst>
    </bk>
    <bk>
      <extLst>
        <ext uri="{3e2802c4-a4d2-4d8b-9148-e3be6c30e623}">
          <xlrd:rvb i="1027"/>
        </ext>
      </extLst>
    </bk>
    <bk>
      <extLst>
        <ext uri="{3e2802c4-a4d2-4d8b-9148-e3be6c30e623}">
          <xlrd:rvb i="1028"/>
        </ext>
      </extLst>
    </bk>
    <bk>
      <extLst>
        <ext uri="{3e2802c4-a4d2-4d8b-9148-e3be6c30e623}">
          <xlrd:rvb i="1029"/>
        </ext>
      </extLst>
    </bk>
    <bk>
      <extLst>
        <ext uri="{3e2802c4-a4d2-4d8b-9148-e3be6c30e623}">
          <xlrd:rvb i="1030"/>
        </ext>
      </extLst>
    </bk>
    <bk>
      <extLst>
        <ext uri="{3e2802c4-a4d2-4d8b-9148-e3be6c30e623}">
          <xlrd:rvb i="1031"/>
        </ext>
      </extLst>
    </bk>
    <bk>
      <extLst>
        <ext uri="{3e2802c4-a4d2-4d8b-9148-e3be6c30e623}">
          <xlrd:rvb i="1032"/>
        </ext>
      </extLst>
    </bk>
    <bk>
      <extLst>
        <ext uri="{3e2802c4-a4d2-4d8b-9148-e3be6c30e623}">
          <xlrd:rvb i="1033"/>
        </ext>
      </extLst>
    </bk>
    <bk>
      <extLst>
        <ext uri="{3e2802c4-a4d2-4d8b-9148-e3be6c30e623}">
          <xlrd:rvb i="1034"/>
        </ext>
      </extLst>
    </bk>
    <bk>
      <extLst>
        <ext uri="{3e2802c4-a4d2-4d8b-9148-e3be6c30e623}">
          <xlrd:rvb i="1035"/>
        </ext>
      </extLst>
    </bk>
    <bk>
      <extLst>
        <ext uri="{3e2802c4-a4d2-4d8b-9148-e3be6c30e623}">
          <xlrd:rvb i="1036"/>
        </ext>
      </extLst>
    </bk>
    <bk>
      <extLst>
        <ext uri="{3e2802c4-a4d2-4d8b-9148-e3be6c30e623}">
          <xlrd:rvb i="1037"/>
        </ext>
      </extLst>
    </bk>
    <bk>
      <extLst>
        <ext uri="{3e2802c4-a4d2-4d8b-9148-e3be6c30e623}">
          <xlrd:rvb i="1038"/>
        </ext>
      </extLst>
    </bk>
    <bk>
      <extLst>
        <ext uri="{3e2802c4-a4d2-4d8b-9148-e3be6c30e623}">
          <xlrd:rvb i="1039"/>
        </ext>
      </extLst>
    </bk>
    <bk>
      <extLst>
        <ext uri="{3e2802c4-a4d2-4d8b-9148-e3be6c30e623}">
          <xlrd:rvb i="1040"/>
        </ext>
      </extLst>
    </bk>
    <bk>
      <extLst>
        <ext uri="{3e2802c4-a4d2-4d8b-9148-e3be6c30e623}">
          <xlrd:rvb i="1041"/>
        </ext>
      </extLst>
    </bk>
    <bk>
      <extLst>
        <ext uri="{3e2802c4-a4d2-4d8b-9148-e3be6c30e623}">
          <xlrd:rvb i="1042"/>
        </ext>
      </extLst>
    </bk>
    <bk>
      <extLst>
        <ext uri="{3e2802c4-a4d2-4d8b-9148-e3be6c30e623}">
          <xlrd:rvb i="1043"/>
        </ext>
      </extLst>
    </bk>
    <bk>
      <extLst>
        <ext uri="{3e2802c4-a4d2-4d8b-9148-e3be6c30e623}">
          <xlrd:rvb i="1044"/>
        </ext>
      </extLst>
    </bk>
    <bk>
      <extLst>
        <ext uri="{3e2802c4-a4d2-4d8b-9148-e3be6c30e623}">
          <xlrd:rvb i="1045"/>
        </ext>
      </extLst>
    </bk>
    <bk>
      <extLst>
        <ext uri="{3e2802c4-a4d2-4d8b-9148-e3be6c30e623}">
          <xlrd:rvb i="1046"/>
        </ext>
      </extLst>
    </bk>
    <bk>
      <extLst>
        <ext uri="{3e2802c4-a4d2-4d8b-9148-e3be6c30e623}">
          <xlrd:rvb i="1047"/>
        </ext>
      </extLst>
    </bk>
    <bk>
      <extLst>
        <ext uri="{3e2802c4-a4d2-4d8b-9148-e3be6c30e623}">
          <xlrd:rvb i="1048"/>
        </ext>
      </extLst>
    </bk>
    <bk>
      <extLst>
        <ext uri="{3e2802c4-a4d2-4d8b-9148-e3be6c30e623}">
          <xlrd:rvb i="1049"/>
        </ext>
      </extLst>
    </bk>
    <bk>
      <extLst>
        <ext uri="{3e2802c4-a4d2-4d8b-9148-e3be6c30e623}">
          <xlrd:rvb i="1050"/>
        </ext>
      </extLst>
    </bk>
    <bk>
      <extLst>
        <ext uri="{3e2802c4-a4d2-4d8b-9148-e3be6c30e623}">
          <xlrd:rvb i="1051"/>
        </ext>
      </extLst>
    </bk>
    <bk>
      <extLst>
        <ext uri="{3e2802c4-a4d2-4d8b-9148-e3be6c30e623}">
          <xlrd:rvb i="1052"/>
        </ext>
      </extLst>
    </bk>
    <bk>
      <extLst>
        <ext uri="{3e2802c4-a4d2-4d8b-9148-e3be6c30e623}">
          <xlrd:rvb i="1053"/>
        </ext>
      </extLst>
    </bk>
    <bk>
      <extLst>
        <ext uri="{3e2802c4-a4d2-4d8b-9148-e3be6c30e623}">
          <xlrd:rvb i="1054"/>
        </ext>
      </extLst>
    </bk>
    <bk>
      <extLst>
        <ext uri="{3e2802c4-a4d2-4d8b-9148-e3be6c30e623}">
          <xlrd:rvb i="1055"/>
        </ext>
      </extLst>
    </bk>
    <bk>
      <extLst>
        <ext uri="{3e2802c4-a4d2-4d8b-9148-e3be6c30e623}">
          <xlrd:rvb i="1056"/>
        </ext>
      </extLst>
    </bk>
    <bk>
      <extLst>
        <ext uri="{3e2802c4-a4d2-4d8b-9148-e3be6c30e623}">
          <xlrd:rvb i="1057"/>
        </ext>
      </extLst>
    </bk>
    <bk>
      <extLst>
        <ext uri="{3e2802c4-a4d2-4d8b-9148-e3be6c30e623}">
          <xlrd:rvb i="1058"/>
        </ext>
      </extLst>
    </bk>
    <bk>
      <extLst>
        <ext uri="{3e2802c4-a4d2-4d8b-9148-e3be6c30e623}">
          <xlrd:rvb i="1059"/>
        </ext>
      </extLst>
    </bk>
    <bk>
      <extLst>
        <ext uri="{3e2802c4-a4d2-4d8b-9148-e3be6c30e623}">
          <xlrd:rvb i="1060"/>
        </ext>
      </extLst>
    </bk>
    <bk>
      <extLst>
        <ext uri="{3e2802c4-a4d2-4d8b-9148-e3be6c30e623}">
          <xlrd:rvb i="1061"/>
        </ext>
      </extLst>
    </bk>
    <bk>
      <extLst>
        <ext uri="{3e2802c4-a4d2-4d8b-9148-e3be6c30e623}">
          <xlrd:rvb i="1062"/>
        </ext>
      </extLst>
    </bk>
    <bk>
      <extLst>
        <ext uri="{3e2802c4-a4d2-4d8b-9148-e3be6c30e623}">
          <xlrd:rvb i="1063"/>
        </ext>
      </extLst>
    </bk>
    <bk>
      <extLst>
        <ext uri="{3e2802c4-a4d2-4d8b-9148-e3be6c30e623}">
          <xlrd:rvb i="1064"/>
        </ext>
      </extLst>
    </bk>
    <bk>
      <extLst>
        <ext uri="{3e2802c4-a4d2-4d8b-9148-e3be6c30e623}">
          <xlrd:rvb i="1065"/>
        </ext>
      </extLst>
    </bk>
    <bk>
      <extLst>
        <ext uri="{3e2802c4-a4d2-4d8b-9148-e3be6c30e623}">
          <xlrd:rvb i="1066"/>
        </ext>
      </extLst>
    </bk>
    <bk>
      <extLst>
        <ext uri="{3e2802c4-a4d2-4d8b-9148-e3be6c30e623}">
          <xlrd:rvb i="1067"/>
        </ext>
      </extLst>
    </bk>
    <bk>
      <extLst>
        <ext uri="{3e2802c4-a4d2-4d8b-9148-e3be6c30e623}">
          <xlrd:rvb i="1068"/>
        </ext>
      </extLst>
    </bk>
    <bk>
      <extLst>
        <ext uri="{3e2802c4-a4d2-4d8b-9148-e3be6c30e623}">
          <xlrd:rvb i="1069"/>
        </ext>
      </extLst>
    </bk>
    <bk>
      <extLst>
        <ext uri="{3e2802c4-a4d2-4d8b-9148-e3be6c30e623}">
          <xlrd:rvb i="1070"/>
        </ext>
      </extLst>
    </bk>
    <bk>
      <extLst>
        <ext uri="{3e2802c4-a4d2-4d8b-9148-e3be6c30e623}">
          <xlrd:rvb i="1071"/>
        </ext>
      </extLst>
    </bk>
    <bk>
      <extLst>
        <ext uri="{3e2802c4-a4d2-4d8b-9148-e3be6c30e623}">
          <xlrd:rvb i="1072"/>
        </ext>
      </extLst>
    </bk>
    <bk>
      <extLst>
        <ext uri="{3e2802c4-a4d2-4d8b-9148-e3be6c30e623}">
          <xlrd:rvb i="1073"/>
        </ext>
      </extLst>
    </bk>
    <bk>
      <extLst>
        <ext uri="{3e2802c4-a4d2-4d8b-9148-e3be6c30e623}">
          <xlrd:rvb i="1074"/>
        </ext>
      </extLst>
    </bk>
    <bk>
      <extLst>
        <ext uri="{3e2802c4-a4d2-4d8b-9148-e3be6c30e623}">
          <xlrd:rvb i="1075"/>
        </ext>
      </extLst>
    </bk>
    <bk>
      <extLst>
        <ext uri="{3e2802c4-a4d2-4d8b-9148-e3be6c30e623}">
          <xlrd:rvb i="1076"/>
        </ext>
      </extLst>
    </bk>
    <bk>
      <extLst>
        <ext uri="{3e2802c4-a4d2-4d8b-9148-e3be6c30e623}">
          <xlrd:rvb i="1077"/>
        </ext>
      </extLst>
    </bk>
    <bk>
      <extLst>
        <ext uri="{3e2802c4-a4d2-4d8b-9148-e3be6c30e623}">
          <xlrd:rvb i="1078"/>
        </ext>
      </extLst>
    </bk>
    <bk>
      <extLst>
        <ext uri="{3e2802c4-a4d2-4d8b-9148-e3be6c30e623}">
          <xlrd:rvb i="1079"/>
        </ext>
      </extLst>
    </bk>
    <bk>
      <extLst>
        <ext uri="{3e2802c4-a4d2-4d8b-9148-e3be6c30e623}">
          <xlrd:rvb i="1080"/>
        </ext>
      </extLst>
    </bk>
    <bk>
      <extLst>
        <ext uri="{3e2802c4-a4d2-4d8b-9148-e3be6c30e623}">
          <xlrd:rvb i="1081"/>
        </ext>
      </extLst>
    </bk>
    <bk>
      <extLst>
        <ext uri="{3e2802c4-a4d2-4d8b-9148-e3be6c30e623}">
          <xlrd:rvb i="1082"/>
        </ext>
      </extLst>
    </bk>
    <bk>
      <extLst>
        <ext uri="{3e2802c4-a4d2-4d8b-9148-e3be6c30e623}">
          <xlrd:rvb i="1083"/>
        </ext>
      </extLst>
    </bk>
    <bk>
      <extLst>
        <ext uri="{3e2802c4-a4d2-4d8b-9148-e3be6c30e623}">
          <xlrd:rvb i="1084"/>
        </ext>
      </extLst>
    </bk>
    <bk>
      <extLst>
        <ext uri="{3e2802c4-a4d2-4d8b-9148-e3be6c30e623}">
          <xlrd:rvb i="1085"/>
        </ext>
      </extLst>
    </bk>
    <bk>
      <extLst>
        <ext uri="{3e2802c4-a4d2-4d8b-9148-e3be6c30e623}">
          <xlrd:rvb i="1086"/>
        </ext>
      </extLst>
    </bk>
    <bk>
      <extLst>
        <ext uri="{3e2802c4-a4d2-4d8b-9148-e3be6c30e623}">
          <xlrd:rvb i="1087"/>
        </ext>
      </extLst>
    </bk>
    <bk>
      <extLst>
        <ext uri="{3e2802c4-a4d2-4d8b-9148-e3be6c30e623}">
          <xlrd:rvb i="1088"/>
        </ext>
      </extLst>
    </bk>
    <bk>
      <extLst>
        <ext uri="{3e2802c4-a4d2-4d8b-9148-e3be6c30e623}">
          <xlrd:rvb i="1089"/>
        </ext>
      </extLst>
    </bk>
    <bk>
      <extLst>
        <ext uri="{3e2802c4-a4d2-4d8b-9148-e3be6c30e623}">
          <xlrd:rvb i="1090"/>
        </ext>
      </extLst>
    </bk>
    <bk>
      <extLst>
        <ext uri="{3e2802c4-a4d2-4d8b-9148-e3be6c30e623}">
          <xlrd:rvb i="1091"/>
        </ext>
      </extLst>
    </bk>
    <bk>
      <extLst>
        <ext uri="{3e2802c4-a4d2-4d8b-9148-e3be6c30e623}">
          <xlrd:rvb i="1092"/>
        </ext>
      </extLst>
    </bk>
    <bk>
      <extLst>
        <ext uri="{3e2802c4-a4d2-4d8b-9148-e3be6c30e623}">
          <xlrd:rvb i="1093"/>
        </ext>
      </extLst>
    </bk>
    <bk>
      <extLst>
        <ext uri="{3e2802c4-a4d2-4d8b-9148-e3be6c30e623}">
          <xlrd:rvb i="1094"/>
        </ext>
      </extLst>
    </bk>
    <bk>
      <extLst>
        <ext uri="{3e2802c4-a4d2-4d8b-9148-e3be6c30e623}">
          <xlrd:rvb i="1095"/>
        </ext>
      </extLst>
    </bk>
    <bk>
      <extLst>
        <ext uri="{3e2802c4-a4d2-4d8b-9148-e3be6c30e623}">
          <xlrd:rvb i="1096"/>
        </ext>
      </extLst>
    </bk>
    <bk>
      <extLst>
        <ext uri="{3e2802c4-a4d2-4d8b-9148-e3be6c30e623}">
          <xlrd:rvb i="1097"/>
        </ext>
      </extLst>
    </bk>
    <bk>
      <extLst>
        <ext uri="{3e2802c4-a4d2-4d8b-9148-e3be6c30e623}">
          <xlrd:rvb i="1098"/>
        </ext>
      </extLst>
    </bk>
    <bk>
      <extLst>
        <ext uri="{3e2802c4-a4d2-4d8b-9148-e3be6c30e623}">
          <xlrd:rvb i="1099"/>
        </ext>
      </extLst>
    </bk>
    <bk>
      <extLst>
        <ext uri="{3e2802c4-a4d2-4d8b-9148-e3be6c30e623}">
          <xlrd:rvb i="1100"/>
        </ext>
      </extLst>
    </bk>
    <bk>
      <extLst>
        <ext uri="{3e2802c4-a4d2-4d8b-9148-e3be6c30e623}">
          <xlrd:rvb i="1101"/>
        </ext>
      </extLst>
    </bk>
    <bk>
      <extLst>
        <ext uri="{3e2802c4-a4d2-4d8b-9148-e3be6c30e623}">
          <xlrd:rvb i="1102"/>
        </ext>
      </extLst>
    </bk>
    <bk>
      <extLst>
        <ext uri="{3e2802c4-a4d2-4d8b-9148-e3be6c30e623}">
          <xlrd:rvb i="1103"/>
        </ext>
      </extLst>
    </bk>
    <bk>
      <extLst>
        <ext uri="{3e2802c4-a4d2-4d8b-9148-e3be6c30e623}">
          <xlrd:rvb i="1104"/>
        </ext>
      </extLst>
    </bk>
    <bk>
      <extLst>
        <ext uri="{3e2802c4-a4d2-4d8b-9148-e3be6c30e623}">
          <xlrd:rvb i="1105"/>
        </ext>
      </extLst>
    </bk>
    <bk>
      <extLst>
        <ext uri="{3e2802c4-a4d2-4d8b-9148-e3be6c30e623}">
          <xlrd:rvb i="1106"/>
        </ext>
      </extLst>
    </bk>
    <bk>
      <extLst>
        <ext uri="{3e2802c4-a4d2-4d8b-9148-e3be6c30e623}">
          <xlrd:rvb i="1107"/>
        </ext>
      </extLst>
    </bk>
    <bk>
      <extLst>
        <ext uri="{3e2802c4-a4d2-4d8b-9148-e3be6c30e623}">
          <xlrd:rvb i="1108"/>
        </ext>
      </extLst>
    </bk>
    <bk>
      <extLst>
        <ext uri="{3e2802c4-a4d2-4d8b-9148-e3be6c30e623}">
          <xlrd:rvb i="1109"/>
        </ext>
      </extLst>
    </bk>
    <bk>
      <extLst>
        <ext uri="{3e2802c4-a4d2-4d8b-9148-e3be6c30e623}">
          <xlrd:rvb i="1110"/>
        </ext>
      </extLst>
    </bk>
    <bk>
      <extLst>
        <ext uri="{3e2802c4-a4d2-4d8b-9148-e3be6c30e623}">
          <xlrd:rvb i="1111"/>
        </ext>
      </extLst>
    </bk>
    <bk>
      <extLst>
        <ext uri="{3e2802c4-a4d2-4d8b-9148-e3be6c30e623}">
          <xlrd:rvb i="1112"/>
        </ext>
      </extLst>
    </bk>
    <bk>
      <extLst>
        <ext uri="{3e2802c4-a4d2-4d8b-9148-e3be6c30e623}">
          <xlrd:rvb i="1113"/>
        </ext>
      </extLst>
    </bk>
    <bk>
      <extLst>
        <ext uri="{3e2802c4-a4d2-4d8b-9148-e3be6c30e623}">
          <xlrd:rvb i="1114"/>
        </ext>
      </extLst>
    </bk>
    <bk>
      <extLst>
        <ext uri="{3e2802c4-a4d2-4d8b-9148-e3be6c30e623}">
          <xlrd:rvb i="1115"/>
        </ext>
      </extLst>
    </bk>
    <bk>
      <extLst>
        <ext uri="{3e2802c4-a4d2-4d8b-9148-e3be6c30e623}">
          <xlrd:rvb i="1116"/>
        </ext>
      </extLst>
    </bk>
    <bk>
      <extLst>
        <ext uri="{3e2802c4-a4d2-4d8b-9148-e3be6c30e623}">
          <xlrd:rvb i="1117"/>
        </ext>
      </extLst>
    </bk>
    <bk>
      <extLst>
        <ext uri="{3e2802c4-a4d2-4d8b-9148-e3be6c30e623}">
          <xlrd:rvb i="1118"/>
        </ext>
      </extLst>
    </bk>
    <bk>
      <extLst>
        <ext uri="{3e2802c4-a4d2-4d8b-9148-e3be6c30e623}">
          <xlrd:rvb i="1119"/>
        </ext>
      </extLst>
    </bk>
    <bk>
      <extLst>
        <ext uri="{3e2802c4-a4d2-4d8b-9148-e3be6c30e623}">
          <xlrd:rvb i="1120"/>
        </ext>
      </extLst>
    </bk>
    <bk>
      <extLst>
        <ext uri="{3e2802c4-a4d2-4d8b-9148-e3be6c30e623}">
          <xlrd:rvb i="1121"/>
        </ext>
      </extLst>
    </bk>
    <bk>
      <extLst>
        <ext uri="{3e2802c4-a4d2-4d8b-9148-e3be6c30e623}">
          <xlrd:rvb i="1122"/>
        </ext>
      </extLst>
    </bk>
    <bk>
      <extLst>
        <ext uri="{3e2802c4-a4d2-4d8b-9148-e3be6c30e623}">
          <xlrd:rvb i="1123"/>
        </ext>
      </extLst>
    </bk>
    <bk>
      <extLst>
        <ext uri="{3e2802c4-a4d2-4d8b-9148-e3be6c30e623}">
          <xlrd:rvb i="1124"/>
        </ext>
      </extLst>
    </bk>
    <bk>
      <extLst>
        <ext uri="{3e2802c4-a4d2-4d8b-9148-e3be6c30e623}">
          <xlrd:rvb i="1125"/>
        </ext>
      </extLst>
    </bk>
    <bk>
      <extLst>
        <ext uri="{3e2802c4-a4d2-4d8b-9148-e3be6c30e623}">
          <xlrd:rvb i="1126"/>
        </ext>
      </extLst>
    </bk>
    <bk>
      <extLst>
        <ext uri="{3e2802c4-a4d2-4d8b-9148-e3be6c30e623}">
          <xlrd:rvb i="1127"/>
        </ext>
      </extLst>
    </bk>
    <bk>
      <extLst>
        <ext uri="{3e2802c4-a4d2-4d8b-9148-e3be6c30e623}">
          <xlrd:rvb i="1128"/>
        </ext>
      </extLst>
    </bk>
    <bk>
      <extLst>
        <ext uri="{3e2802c4-a4d2-4d8b-9148-e3be6c30e623}">
          <xlrd:rvb i="1129"/>
        </ext>
      </extLst>
    </bk>
    <bk>
      <extLst>
        <ext uri="{3e2802c4-a4d2-4d8b-9148-e3be6c30e623}">
          <xlrd:rvb i="1130"/>
        </ext>
      </extLst>
    </bk>
    <bk>
      <extLst>
        <ext uri="{3e2802c4-a4d2-4d8b-9148-e3be6c30e623}">
          <xlrd:rvb i="1131"/>
        </ext>
      </extLst>
    </bk>
    <bk>
      <extLst>
        <ext uri="{3e2802c4-a4d2-4d8b-9148-e3be6c30e623}">
          <xlrd:rvb i="1132"/>
        </ext>
      </extLst>
    </bk>
    <bk>
      <extLst>
        <ext uri="{3e2802c4-a4d2-4d8b-9148-e3be6c30e623}">
          <xlrd:rvb i="1133"/>
        </ext>
      </extLst>
    </bk>
    <bk>
      <extLst>
        <ext uri="{3e2802c4-a4d2-4d8b-9148-e3be6c30e623}">
          <xlrd:rvb i="1134"/>
        </ext>
      </extLst>
    </bk>
    <bk>
      <extLst>
        <ext uri="{3e2802c4-a4d2-4d8b-9148-e3be6c30e623}">
          <xlrd:rvb i="1135"/>
        </ext>
      </extLst>
    </bk>
    <bk>
      <extLst>
        <ext uri="{3e2802c4-a4d2-4d8b-9148-e3be6c30e623}">
          <xlrd:rvb i="1136"/>
        </ext>
      </extLst>
    </bk>
    <bk>
      <extLst>
        <ext uri="{3e2802c4-a4d2-4d8b-9148-e3be6c30e623}">
          <xlrd:rvb i="1137"/>
        </ext>
      </extLst>
    </bk>
    <bk>
      <extLst>
        <ext uri="{3e2802c4-a4d2-4d8b-9148-e3be6c30e623}">
          <xlrd:rvb i="1138"/>
        </ext>
      </extLst>
    </bk>
    <bk>
      <extLst>
        <ext uri="{3e2802c4-a4d2-4d8b-9148-e3be6c30e623}">
          <xlrd:rvb i="1139"/>
        </ext>
      </extLst>
    </bk>
    <bk>
      <extLst>
        <ext uri="{3e2802c4-a4d2-4d8b-9148-e3be6c30e623}">
          <xlrd:rvb i="1140"/>
        </ext>
      </extLst>
    </bk>
    <bk>
      <extLst>
        <ext uri="{3e2802c4-a4d2-4d8b-9148-e3be6c30e623}">
          <xlrd:rvb i="1141"/>
        </ext>
      </extLst>
    </bk>
    <bk>
      <extLst>
        <ext uri="{3e2802c4-a4d2-4d8b-9148-e3be6c30e623}">
          <xlrd:rvb i="1142"/>
        </ext>
      </extLst>
    </bk>
    <bk>
      <extLst>
        <ext uri="{3e2802c4-a4d2-4d8b-9148-e3be6c30e623}">
          <xlrd:rvb i="1143"/>
        </ext>
      </extLst>
    </bk>
    <bk>
      <extLst>
        <ext uri="{3e2802c4-a4d2-4d8b-9148-e3be6c30e623}">
          <xlrd:rvb i="1144"/>
        </ext>
      </extLst>
    </bk>
    <bk>
      <extLst>
        <ext uri="{3e2802c4-a4d2-4d8b-9148-e3be6c30e623}">
          <xlrd:rvb i="1145"/>
        </ext>
      </extLst>
    </bk>
    <bk>
      <extLst>
        <ext uri="{3e2802c4-a4d2-4d8b-9148-e3be6c30e623}">
          <xlrd:rvb i="1146"/>
        </ext>
      </extLst>
    </bk>
    <bk>
      <extLst>
        <ext uri="{3e2802c4-a4d2-4d8b-9148-e3be6c30e623}">
          <xlrd:rvb i="1147"/>
        </ext>
      </extLst>
    </bk>
    <bk>
      <extLst>
        <ext uri="{3e2802c4-a4d2-4d8b-9148-e3be6c30e623}">
          <xlrd:rvb i="1148"/>
        </ext>
      </extLst>
    </bk>
    <bk>
      <extLst>
        <ext uri="{3e2802c4-a4d2-4d8b-9148-e3be6c30e623}">
          <xlrd:rvb i="1149"/>
        </ext>
      </extLst>
    </bk>
    <bk>
      <extLst>
        <ext uri="{3e2802c4-a4d2-4d8b-9148-e3be6c30e623}">
          <xlrd:rvb i="1150"/>
        </ext>
      </extLst>
    </bk>
    <bk>
      <extLst>
        <ext uri="{3e2802c4-a4d2-4d8b-9148-e3be6c30e623}">
          <xlrd:rvb i="1151"/>
        </ext>
      </extLst>
    </bk>
    <bk>
      <extLst>
        <ext uri="{3e2802c4-a4d2-4d8b-9148-e3be6c30e623}">
          <xlrd:rvb i="1152"/>
        </ext>
      </extLst>
    </bk>
    <bk>
      <extLst>
        <ext uri="{3e2802c4-a4d2-4d8b-9148-e3be6c30e623}">
          <xlrd:rvb i="1153"/>
        </ext>
      </extLst>
    </bk>
    <bk>
      <extLst>
        <ext uri="{3e2802c4-a4d2-4d8b-9148-e3be6c30e623}">
          <xlrd:rvb i="1154"/>
        </ext>
      </extLst>
    </bk>
    <bk>
      <extLst>
        <ext uri="{3e2802c4-a4d2-4d8b-9148-e3be6c30e623}">
          <xlrd:rvb i="1155"/>
        </ext>
      </extLst>
    </bk>
    <bk>
      <extLst>
        <ext uri="{3e2802c4-a4d2-4d8b-9148-e3be6c30e623}">
          <xlrd:rvb i="1156"/>
        </ext>
      </extLst>
    </bk>
    <bk>
      <extLst>
        <ext uri="{3e2802c4-a4d2-4d8b-9148-e3be6c30e623}">
          <xlrd:rvb i="1157"/>
        </ext>
      </extLst>
    </bk>
    <bk>
      <extLst>
        <ext uri="{3e2802c4-a4d2-4d8b-9148-e3be6c30e623}">
          <xlrd:rvb i="1158"/>
        </ext>
      </extLst>
    </bk>
    <bk>
      <extLst>
        <ext uri="{3e2802c4-a4d2-4d8b-9148-e3be6c30e623}">
          <xlrd:rvb i="1159"/>
        </ext>
      </extLst>
    </bk>
    <bk>
      <extLst>
        <ext uri="{3e2802c4-a4d2-4d8b-9148-e3be6c30e623}">
          <xlrd:rvb i="1160"/>
        </ext>
      </extLst>
    </bk>
    <bk>
      <extLst>
        <ext uri="{3e2802c4-a4d2-4d8b-9148-e3be6c30e623}">
          <xlrd:rvb i="1161"/>
        </ext>
      </extLst>
    </bk>
    <bk>
      <extLst>
        <ext uri="{3e2802c4-a4d2-4d8b-9148-e3be6c30e623}">
          <xlrd:rvb i="1162"/>
        </ext>
      </extLst>
    </bk>
    <bk>
      <extLst>
        <ext uri="{3e2802c4-a4d2-4d8b-9148-e3be6c30e623}">
          <xlrd:rvb i="1163"/>
        </ext>
      </extLst>
    </bk>
    <bk>
      <extLst>
        <ext uri="{3e2802c4-a4d2-4d8b-9148-e3be6c30e623}">
          <xlrd:rvb i="1164"/>
        </ext>
      </extLst>
    </bk>
    <bk>
      <extLst>
        <ext uri="{3e2802c4-a4d2-4d8b-9148-e3be6c30e623}">
          <xlrd:rvb i="1165"/>
        </ext>
      </extLst>
    </bk>
    <bk>
      <extLst>
        <ext uri="{3e2802c4-a4d2-4d8b-9148-e3be6c30e623}">
          <xlrd:rvb i="1166"/>
        </ext>
      </extLst>
    </bk>
    <bk>
      <extLst>
        <ext uri="{3e2802c4-a4d2-4d8b-9148-e3be6c30e623}">
          <xlrd:rvb i="1167"/>
        </ext>
      </extLst>
    </bk>
    <bk>
      <extLst>
        <ext uri="{3e2802c4-a4d2-4d8b-9148-e3be6c30e623}">
          <xlrd:rvb i="1168"/>
        </ext>
      </extLst>
    </bk>
    <bk>
      <extLst>
        <ext uri="{3e2802c4-a4d2-4d8b-9148-e3be6c30e623}">
          <xlrd:rvb i="1169"/>
        </ext>
      </extLst>
    </bk>
    <bk>
      <extLst>
        <ext uri="{3e2802c4-a4d2-4d8b-9148-e3be6c30e623}">
          <xlrd:rvb i="1170"/>
        </ext>
      </extLst>
    </bk>
    <bk>
      <extLst>
        <ext uri="{3e2802c4-a4d2-4d8b-9148-e3be6c30e623}">
          <xlrd:rvb i="1171"/>
        </ext>
      </extLst>
    </bk>
    <bk>
      <extLst>
        <ext uri="{3e2802c4-a4d2-4d8b-9148-e3be6c30e623}">
          <xlrd:rvb i="1172"/>
        </ext>
      </extLst>
    </bk>
    <bk>
      <extLst>
        <ext uri="{3e2802c4-a4d2-4d8b-9148-e3be6c30e623}">
          <xlrd:rvb i="1173"/>
        </ext>
      </extLst>
    </bk>
    <bk>
      <extLst>
        <ext uri="{3e2802c4-a4d2-4d8b-9148-e3be6c30e623}">
          <xlrd:rvb i="1174"/>
        </ext>
      </extLst>
    </bk>
    <bk>
      <extLst>
        <ext uri="{3e2802c4-a4d2-4d8b-9148-e3be6c30e623}">
          <xlrd:rvb i="1175"/>
        </ext>
      </extLst>
    </bk>
    <bk>
      <extLst>
        <ext uri="{3e2802c4-a4d2-4d8b-9148-e3be6c30e623}">
          <xlrd:rvb i="1176"/>
        </ext>
      </extLst>
    </bk>
    <bk>
      <extLst>
        <ext uri="{3e2802c4-a4d2-4d8b-9148-e3be6c30e623}">
          <xlrd:rvb i="1177"/>
        </ext>
      </extLst>
    </bk>
    <bk>
      <extLst>
        <ext uri="{3e2802c4-a4d2-4d8b-9148-e3be6c30e623}">
          <xlrd:rvb i="1178"/>
        </ext>
      </extLst>
    </bk>
    <bk>
      <extLst>
        <ext uri="{3e2802c4-a4d2-4d8b-9148-e3be6c30e623}">
          <xlrd:rvb i="1179"/>
        </ext>
      </extLst>
    </bk>
    <bk>
      <extLst>
        <ext uri="{3e2802c4-a4d2-4d8b-9148-e3be6c30e623}">
          <xlrd:rvb i="1180"/>
        </ext>
      </extLst>
    </bk>
    <bk>
      <extLst>
        <ext uri="{3e2802c4-a4d2-4d8b-9148-e3be6c30e623}">
          <xlrd:rvb i="1181"/>
        </ext>
      </extLst>
    </bk>
    <bk>
      <extLst>
        <ext uri="{3e2802c4-a4d2-4d8b-9148-e3be6c30e623}">
          <xlrd:rvb i="1182"/>
        </ext>
      </extLst>
    </bk>
    <bk>
      <extLst>
        <ext uri="{3e2802c4-a4d2-4d8b-9148-e3be6c30e623}">
          <xlrd:rvb i="1183"/>
        </ext>
      </extLst>
    </bk>
    <bk>
      <extLst>
        <ext uri="{3e2802c4-a4d2-4d8b-9148-e3be6c30e623}">
          <xlrd:rvb i="1184"/>
        </ext>
      </extLst>
    </bk>
    <bk>
      <extLst>
        <ext uri="{3e2802c4-a4d2-4d8b-9148-e3be6c30e623}">
          <xlrd:rvb i="1185"/>
        </ext>
      </extLst>
    </bk>
    <bk>
      <extLst>
        <ext uri="{3e2802c4-a4d2-4d8b-9148-e3be6c30e623}">
          <xlrd:rvb i="1186"/>
        </ext>
      </extLst>
    </bk>
    <bk>
      <extLst>
        <ext uri="{3e2802c4-a4d2-4d8b-9148-e3be6c30e623}">
          <xlrd:rvb i="1187"/>
        </ext>
      </extLst>
    </bk>
    <bk>
      <extLst>
        <ext uri="{3e2802c4-a4d2-4d8b-9148-e3be6c30e623}">
          <xlrd:rvb i="1188"/>
        </ext>
      </extLst>
    </bk>
    <bk>
      <extLst>
        <ext uri="{3e2802c4-a4d2-4d8b-9148-e3be6c30e623}">
          <xlrd:rvb i="1189"/>
        </ext>
      </extLst>
    </bk>
    <bk>
      <extLst>
        <ext uri="{3e2802c4-a4d2-4d8b-9148-e3be6c30e623}">
          <xlrd:rvb i="1190"/>
        </ext>
      </extLst>
    </bk>
    <bk>
      <extLst>
        <ext uri="{3e2802c4-a4d2-4d8b-9148-e3be6c30e623}">
          <xlrd:rvb i="1191"/>
        </ext>
      </extLst>
    </bk>
    <bk>
      <extLst>
        <ext uri="{3e2802c4-a4d2-4d8b-9148-e3be6c30e623}">
          <xlrd:rvb i="1192"/>
        </ext>
      </extLst>
    </bk>
    <bk>
      <extLst>
        <ext uri="{3e2802c4-a4d2-4d8b-9148-e3be6c30e623}">
          <xlrd:rvb i="1193"/>
        </ext>
      </extLst>
    </bk>
    <bk>
      <extLst>
        <ext uri="{3e2802c4-a4d2-4d8b-9148-e3be6c30e623}">
          <xlrd:rvb i="1194"/>
        </ext>
      </extLst>
    </bk>
    <bk>
      <extLst>
        <ext uri="{3e2802c4-a4d2-4d8b-9148-e3be6c30e623}">
          <xlrd:rvb i="1195"/>
        </ext>
      </extLst>
    </bk>
    <bk>
      <extLst>
        <ext uri="{3e2802c4-a4d2-4d8b-9148-e3be6c30e623}">
          <xlrd:rvb i="1196"/>
        </ext>
      </extLst>
    </bk>
    <bk>
      <extLst>
        <ext uri="{3e2802c4-a4d2-4d8b-9148-e3be6c30e623}">
          <xlrd:rvb i="1197"/>
        </ext>
      </extLst>
    </bk>
    <bk>
      <extLst>
        <ext uri="{3e2802c4-a4d2-4d8b-9148-e3be6c30e623}">
          <xlrd:rvb i="1198"/>
        </ext>
      </extLst>
    </bk>
    <bk>
      <extLst>
        <ext uri="{3e2802c4-a4d2-4d8b-9148-e3be6c30e623}">
          <xlrd:rvb i="1199"/>
        </ext>
      </extLst>
    </bk>
    <bk>
      <extLst>
        <ext uri="{3e2802c4-a4d2-4d8b-9148-e3be6c30e623}">
          <xlrd:rvb i="1200"/>
        </ext>
      </extLst>
    </bk>
    <bk>
      <extLst>
        <ext uri="{3e2802c4-a4d2-4d8b-9148-e3be6c30e623}">
          <xlrd:rvb i="1201"/>
        </ext>
      </extLst>
    </bk>
    <bk>
      <extLst>
        <ext uri="{3e2802c4-a4d2-4d8b-9148-e3be6c30e623}">
          <xlrd:rvb i="1202"/>
        </ext>
      </extLst>
    </bk>
    <bk>
      <extLst>
        <ext uri="{3e2802c4-a4d2-4d8b-9148-e3be6c30e623}">
          <xlrd:rvb i="1203"/>
        </ext>
      </extLst>
    </bk>
    <bk>
      <extLst>
        <ext uri="{3e2802c4-a4d2-4d8b-9148-e3be6c30e623}">
          <xlrd:rvb i="1204"/>
        </ext>
      </extLst>
    </bk>
    <bk>
      <extLst>
        <ext uri="{3e2802c4-a4d2-4d8b-9148-e3be6c30e623}">
          <xlrd:rvb i="1205"/>
        </ext>
      </extLst>
    </bk>
    <bk>
      <extLst>
        <ext uri="{3e2802c4-a4d2-4d8b-9148-e3be6c30e623}">
          <xlrd:rvb i="1206"/>
        </ext>
      </extLst>
    </bk>
    <bk>
      <extLst>
        <ext uri="{3e2802c4-a4d2-4d8b-9148-e3be6c30e623}">
          <xlrd:rvb i="1207"/>
        </ext>
      </extLst>
    </bk>
    <bk>
      <extLst>
        <ext uri="{3e2802c4-a4d2-4d8b-9148-e3be6c30e623}">
          <xlrd:rvb i="1208"/>
        </ext>
      </extLst>
    </bk>
    <bk>
      <extLst>
        <ext uri="{3e2802c4-a4d2-4d8b-9148-e3be6c30e623}">
          <xlrd:rvb i="1209"/>
        </ext>
      </extLst>
    </bk>
    <bk>
      <extLst>
        <ext uri="{3e2802c4-a4d2-4d8b-9148-e3be6c30e623}">
          <xlrd:rvb i="1210"/>
        </ext>
      </extLst>
    </bk>
    <bk>
      <extLst>
        <ext uri="{3e2802c4-a4d2-4d8b-9148-e3be6c30e623}">
          <xlrd:rvb i="1211"/>
        </ext>
      </extLst>
    </bk>
    <bk>
      <extLst>
        <ext uri="{3e2802c4-a4d2-4d8b-9148-e3be6c30e623}">
          <xlrd:rvb i="1212"/>
        </ext>
      </extLst>
    </bk>
    <bk>
      <extLst>
        <ext uri="{3e2802c4-a4d2-4d8b-9148-e3be6c30e623}">
          <xlrd:rvb i="1213"/>
        </ext>
      </extLst>
    </bk>
    <bk>
      <extLst>
        <ext uri="{3e2802c4-a4d2-4d8b-9148-e3be6c30e623}">
          <xlrd:rvb i="1214"/>
        </ext>
      </extLst>
    </bk>
    <bk>
      <extLst>
        <ext uri="{3e2802c4-a4d2-4d8b-9148-e3be6c30e623}">
          <xlrd:rvb i="1215"/>
        </ext>
      </extLst>
    </bk>
    <bk>
      <extLst>
        <ext uri="{3e2802c4-a4d2-4d8b-9148-e3be6c30e623}">
          <xlrd:rvb i="1216"/>
        </ext>
      </extLst>
    </bk>
    <bk>
      <extLst>
        <ext uri="{3e2802c4-a4d2-4d8b-9148-e3be6c30e623}">
          <xlrd:rvb i="1217"/>
        </ext>
      </extLst>
    </bk>
    <bk>
      <extLst>
        <ext uri="{3e2802c4-a4d2-4d8b-9148-e3be6c30e623}">
          <xlrd:rvb i="1218"/>
        </ext>
      </extLst>
    </bk>
    <bk>
      <extLst>
        <ext uri="{3e2802c4-a4d2-4d8b-9148-e3be6c30e623}">
          <xlrd:rvb i="1219"/>
        </ext>
      </extLst>
    </bk>
    <bk>
      <extLst>
        <ext uri="{3e2802c4-a4d2-4d8b-9148-e3be6c30e623}">
          <xlrd:rvb i="1220"/>
        </ext>
      </extLst>
    </bk>
    <bk>
      <extLst>
        <ext uri="{3e2802c4-a4d2-4d8b-9148-e3be6c30e623}">
          <xlrd:rvb i="1221"/>
        </ext>
      </extLst>
    </bk>
    <bk>
      <extLst>
        <ext uri="{3e2802c4-a4d2-4d8b-9148-e3be6c30e623}">
          <xlrd:rvb i="1222"/>
        </ext>
      </extLst>
    </bk>
    <bk>
      <extLst>
        <ext uri="{3e2802c4-a4d2-4d8b-9148-e3be6c30e623}">
          <xlrd:rvb i="1223"/>
        </ext>
      </extLst>
    </bk>
    <bk>
      <extLst>
        <ext uri="{3e2802c4-a4d2-4d8b-9148-e3be6c30e623}">
          <xlrd:rvb i="1224"/>
        </ext>
      </extLst>
    </bk>
    <bk>
      <extLst>
        <ext uri="{3e2802c4-a4d2-4d8b-9148-e3be6c30e623}">
          <xlrd:rvb i="1225"/>
        </ext>
      </extLst>
    </bk>
    <bk>
      <extLst>
        <ext uri="{3e2802c4-a4d2-4d8b-9148-e3be6c30e623}">
          <xlrd:rvb i="1226"/>
        </ext>
      </extLst>
    </bk>
    <bk>
      <extLst>
        <ext uri="{3e2802c4-a4d2-4d8b-9148-e3be6c30e623}">
          <xlrd:rvb i="1227"/>
        </ext>
      </extLst>
    </bk>
    <bk>
      <extLst>
        <ext uri="{3e2802c4-a4d2-4d8b-9148-e3be6c30e623}">
          <xlrd:rvb i="1228"/>
        </ext>
      </extLst>
    </bk>
    <bk>
      <extLst>
        <ext uri="{3e2802c4-a4d2-4d8b-9148-e3be6c30e623}">
          <xlrd:rvb i="1229"/>
        </ext>
      </extLst>
    </bk>
    <bk>
      <extLst>
        <ext uri="{3e2802c4-a4d2-4d8b-9148-e3be6c30e623}">
          <xlrd:rvb i="1230"/>
        </ext>
      </extLst>
    </bk>
    <bk>
      <extLst>
        <ext uri="{3e2802c4-a4d2-4d8b-9148-e3be6c30e623}">
          <xlrd:rvb i="1231"/>
        </ext>
      </extLst>
    </bk>
    <bk>
      <extLst>
        <ext uri="{3e2802c4-a4d2-4d8b-9148-e3be6c30e623}">
          <xlrd:rvb i="1232"/>
        </ext>
      </extLst>
    </bk>
    <bk>
      <extLst>
        <ext uri="{3e2802c4-a4d2-4d8b-9148-e3be6c30e623}">
          <xlrd:rvb i="1233"/>
        </ext>
      </extLst>
    </bk>
    <bk>
      <extLst>
        <ext uri="{3e2802c4-a4d2-4d8b-9148-e3be6c30e623}">
          <xlrd:rvb i="1234"/>
        </ext>
      </extLst>
    </bk>
    <bk>
      <extLst>
        <ext uri="{3e2802c4-a4d2-4d8b-9148-e3be6c30e623}">
          <xlrd:rvb i="1235"/>
        </ext>
      </extLst>
    </bk>
    <bk>
      <extLst>
        <ext uri="{3e2802c4-a4d2-4d8b-9148-e3be6c30e623}">
          <xlrd:rvb i="1236"/>
        </ext>
      </extLst>
    </bk>
    <bk>
      <extLst>
        <ext uri="{3e2802c4-a4d2-4d8b-9148-e3be6c30e623}">
          <xlrd:rvb i="1237"/>
        </ext>
      </extLst>
    </bk>
    <bk>
      <extLst>
        <ext uri="{3e2802c4-a4d2-4d8b-9148-e3be6c30e623}">
          <xlrd:rvb i="1238"/>
        </ext>
      </extLst>
    </bk>
    <bk>
      <extLst>
        <ext uri="{3e2802c4-a4d2-4d8b-9148-e3be6c30e623}">
          <xlrd:rvb i="1239"/>
        </ext>
      </extLst>
    </bk>
    <bk>
      <extLst>
        <ext uri="{3e2802c4-a4d2-4d8b-9148-e3be6c30e623}">
          <xlrd:rvb i="1240"/>
        </ext>
      </extLst>
    </bk>
    <bk>
      <extLst>
        <ext uri="{3e2802c4-a4d2-4d8b-9148-e3be6c30e623}">
          <xlrd:rvb i="1241"/>
        </ext>
      </extLst>
    </bk>
    <bk>
      <extLst>
        <ext uri="{3e2802c4-a4d2-4d8b-9148-e3be6c30e623}">
          <xlrd:rvb i="1242"/>
        </ext>
      </extLst>
    </bk>
    <bk>
      <extLst>
        <ext uri="{3e2802c4-a4d2-4d8b-9148-e3be6c30e623}">
          <xlrd:rvb i="1243"/>
        </ext>
      </extLst>
    </bk>
    <bk>
      <extLst>
        <ext uri="{3e2802c4-a4d2-4d8b-9148-e3be6c30e623}">
          <xlrd:rvb i="1244"/>
        </ext>
      </extLst>
    </bk>
    <bk>
      <extLst>
        <ext uri="{3e2802c4-a4d2-4d8b-9148-e3be6c30e623}">
          <xlrd:rvb i="1245"/>
        </ext>
      </extLst>
    </bk>
    <bk>
      <extLst>
        <ext uri="{3e2802c4-a4d2-4d8b-9148-e3be6c30e623}">
          <xlrd:rvb i="1246"/>
        </ext>
      </extLst>
    </bk>
    <bk>
      <extLst>
        <ext uri="{3e2802c4-a4d2-4d8b-9148-e3be6c30e623}">
          <xlrd:rvb i="1247"/>
        </ext>
      </extLst>
    </bk>
    <bk>
      <extLst>
        <ext uri="{3e2802c4-a4d2-4d8b-9148-e3be6c30e623}">
          <xlrd:rvb i="1248"/>
        </ext>
      </extLst>
    </bk>
    <bk>
      <extLst>
        <ext uri="{3e2802c4-a4d2-4d8b-9148-e3be6c30e623}">
          <xlrd:rvb i="1249"/>
        </ext>
      </extLst>
    </bk>
    <bk>
      <extLst>
        <ext uri="{3e2802c4-a4d2-4d8b-9148-e3be6c30e623}">
          <xlrd:rvb i="1250"/>
        </ext>
      </extLst>
    </bk>
    <bk>
      <extLst>
        <ext uri="{3e2802c4-a4d2-4d8b-9148-e3be6c30e623}">
          <xlrd:rvb i="1251"/>
        </ext>
      </extLst>
    </bk>
    <bk>
      <extLst>
        <ext uri="{3e2802c4-a4d2-4d8b-9148-e3be6c30e623}">
          <xlrd:rvb i="1252"/>
        </ext>
      </extLst>
    </bk>
    <bk>
      <extLst>
        <ext uri="{3e2802c4-a4d2-4d8b-9148-e3be6c30e623}">
          <xlrd:rvb i="1253"/>
        </ext>
      </extLst>
    </bk>
    <bk>
      <extLst>
        <ext uri="{3e2802c4-a4d2-4d8b-9148-e3be6c30e623}">
          <xlrd:rvb i="1254"/>
        </ext>
      </extLst>
    </bk>
    <bk>
      <extLst>
        <ext uri="{3e2802c4-a4d2-4d8b-9148-e3be6c30e623}">
          <xlrd:rvb i="1255"/>
        </ext>
      </extLst>
    </bk>
    <bk>
      <extLst>
        <ext uri="{3e2802c4-a4d2-4d8b-9148-e3be6c30e623}">
          <xlrd:rvb i="1256"/>
        </ext>
      </extLst>
    </bk>
    <bk>
      <extLst>
        <ext uri="{3e2802c4-a4d2-4d8b-9148-e3be6c30e623}">
          <xlrd:rvb i="1257"/>
        </ext>
      </extLst>
    </bk>
    <bk>
      <extLst>
        <ext uri="{3e2802c4-a4d2-4d8b-9148-e3be6c30e623}">
          <xlrd:rvb i="1258"/>
        </ext>
      </extLst>
    </bk>
    <bk>
      <extLst>
        <ext uri="{3e2802c4-a4d2-4d8b-9148-e3be6c30e623}">
          <xlrd:rvb i="1259"/>
        </ext>
      </extLst>
    </bk>
    <bk>
      <extLst>
        <ext uri="{3e2802c4-a4d2-4d8b-9148-e3be6c30e623}">
          <xlrd:rvb i="1260"/>
        </ext>
      </extLst>
    </bk>
    <bk>
      <extLst>
        <ext uri="{3e2802c4-a4d2-4d8b-9148-e3be6c30e623}">
          <xlrd:rvb i="1261"/>
        </ext>
      </extLst>
    </bk>
    <bk>
      <extLst>
        <ext uri="{3e2802c4-a4d2-4d8b-9148-e3be6c30e623}">
          <xlrd:rvb i="1262"/>
        </ext>
      </extLst>
    </bk>
    <bk>
      <extLst>
        <ext uri="{3e2802c4-a4d2-4d8b-9148-e3be6c30e623}">
          <xlrd:rvb i="1263"/>
        </ext>
      </extLst>
    </bk>
    <bk>
      <extLst>
        <ext uri="{3e2802c4-a4d2-4d8b-9148-e3be6c30e623}">
          <xlrd:rvb i="1264"/>
        </ext>
      </extLst>
    </bk>
    <bk>
      <extLst>
        <ext uri="{3e2802c4-a4d2-4d8b-9148-e3be6c30e623}">
          <xlrd:rvb i="1265"/>
        </ext>
      </extLst>
    </bk>
    <bk>
      <extLst>
        <ext uri="{3e2802c4-a4d2-4d8b-9148-e3be6c30e623}">
          <xlrd:rvb i="1266"/>
        </ext>
      </extLst>
    </bk>
    <bk>
      <extLst>
        <ext uri="{3e2802c4-a4d2-4d8b-9148-e3be6c30e623}">
          <xlrd:rvb i="1267"/>
        </ext>
      </extLst>
    </bk>
    <bk>
      <extLst>
        <ext uri="{3e2802c4-a4d2-4d8b-9148-e3be6c30e623}">
          <xlrd:rvb i="1268"/>
        </ext>
      </extLst>
    </bk>
    <bk>
      <extLst>
        <ext uri="{3e2802c4-a4d2-4d8b-9148-e3be6c30e623}">
          <xlrd:rvb i="1269"/>
        </ext>
      </extLst>
    </bk>
    <bk>
      <extLst>
        <ext uri="{3e2802c4-a4d2-4d8b-9148-e3be6c30e623}">
          <xlrd:rvb i="1270"/>
        </ext>
      </extLst>
    </bk>
    <bk>
      <extLst>
        <ext uri="{3e2802c4-a4d2-4d8b-9148-e3be6c30e623}">
          <xlrd:rvb i="1271"/>
        </ext>
      </extLst>
    </bk>
    <bk>
      <extLst>
        <ext uri="{3e2802c4-a4d2-4d8b-9148-e3be6c30e623}">
          <xlrd:rvb i="1272"/>
        </ext>
      </extLst>
    </bk>
    <bk>
      <extLst>
        <ext uri="{3e2802c4-a4d2-4d8b-9148-e3be6c30e623}">
          <xlrd:rvb i="1273"/>
        </ext>
      </extLst>
    </bk>
    <bk>
      <extLst>
        <ext uri="{3e2802c4-a4d2-4d8b-9148-e3be6c30e623}">
          <xlrd:rvb i="1274"/>
        </ext>
      </extLst>
    </bk>
    <bk>
      <extLst>
        <ext uri="{3e2802c4-a4d2-4d8b-9148-e3be6c30e623}">
          <xlrd:rvb i="1275"/>
        </ext>
      </extLst>
    </bk>
    <bk>
      <extLst>
        <ext uri="{3e2802c4-a4d2-4d8b-9148-e3be6c30e623}">
          <xlrd:rvb i="1276"/>
        </ext>
      </extLst>
    </bk>
    <bk>
      <extLst>
        <ext uri="{3e2802c4-a4d2-4d8b-9148-e3be6c30e623}">
          <xlrd:rvb i="1277"/>
        </ext>
      </extLst>
    </bk>
    <bk>
      <extLst>
        <ext uri="{3e2802c4-a4d2-4d8b-9148-e3be6c30e623}">
          <xlrd:rvb i="1278"/>
        </ext>
      </extLst>
    </bk>
    <bk>
      <extLst>
        <ext uri="{3e2802c4-a4d2-4d8b-9148-e3be6c30e623}">
          <xlrd:rvb i="1279"/>
        </ext>
      </extLst>
    </bk>
    <bk>
      <extLst>
        <ext uri="{3e2802c4-a4d2-4d8b-9148-e3be6c30e623}">
          <xlrd:rvb i="1280"/>
        </ext>
      </extLst>
    </bk>
    <bk>
      <extLst>
        <ext uri="{3e2802c4-a4d2-4d8b-9148-e3be6c30e623}">
          <xlrd:rvb i="1281"/>
        </ext>
      </extLst>
    </bk>
    <bk>
      <extLst>
        <ext uri="{3e2802c4-a4d2-4d8b-9148-e3be6c30e623}">
          <xlrd:rvb i="1282"/>
        </ext>
      </extLst>
    </bk>
    <bk>
      <extLst>
        <ext uri="{3e2802c4-a4d2-4d8b-9148-e3be6c30e623}">
          <xlrd:rvb i="1283"/>
        </ext>
      </extLst>
    </bk>
    <bk>
      <extLst>
        <ext uri="{3e2802c4-a4d2-4d8b-9148-e3be6c30e623}">
          <xlrd:rvb i="1284"/>
        </ext>
      </extLst>
    </bk>
    <bk>
      <extLst>
        <ext uri="{3e2802c4-a4d2-4d8b-9148-e3be6c30e623}">
          <xlrd:rvb i="1285"/>
        </ext>
      </extLst>
    </bk>
    <bk>
      <extLst>
        <ext uri="{3e2802c4-a4d2-4d8b-9148-e3be6c30e623}">
          <xlrd:rvb i="1286"/>
        </ext>
      </extLst>
    </bk>
    <bk>
      <extLst>
        <ext uri="{3e2802c4-a4d2-4d8b-9148-e3be6c30e623}">
          <xlrd:rvb i="1287"/>
        </ext>
      </extLst>
    </bk>
    <bk>
      <extLst>
        <ext uri="{3e2802c4-a4d2-4d8b-9148-e3be6c30e623}">
          <xlrd:rvb i="1288"/>
        </ext>
      </extLst>
    </bk>
    <bk>
      <extLst>
        <ext uri="{3e2802c4-a4d2-4d8b-9148-e3be6c30e623}">
          <xlrd:rvb i="1289"/>
        </ext>
      </extLst>
    </bk>
    <bk>
      <extLst>
        <ext uri="{3e2802c4-a4d2-4d8b-9148-e3be6c30e623}">
          <xlrd:rvb i="1290"/>
        </ext>
      </extLst>
    </bk>
    <bk>
      <extLst>
        <ext uri="{3e2802c4-a4d2-4d8b-9148-e3be6c30e623}">
          <xlrd:rvb i="1291"/>
        </ext>
      </extLst>
    </bk>
    <bk>
      <extLst>
        <ext uri="{3e2802c4-a4d2-4d8b-9148-e3be6c30e623}">
          <xlrd:rvb i="1292"/>
        </ext>
      </extLst>
    </bk>
    <bk>
      <extLst>
        <ext uri="{3e2802c4-a4d2-4d8b-9148-e3be6c30e623}">
          <xlrd:rvb i="1293"/>
        </ext>
      </extLst>
    </bk>
    <bk>
      <extLst>
        <ext uri="{3e2802c4-a4d2-4d8b-9148-e3be6c30e623}">
          <xlrd:rvb i="1294"/>
        </ext>
      </extLst>
    </bk>
    <bk>
      <extLst>
        <ext uri="{3e2802c4-a4d2-4d8b-9148-e3be6c30e623}">
          <xlrd:rvb i="1295"/>
        </ext>
      </extLst>
    </bk>
    <bk>
      <extLst>
        <ext uri="{3e2802c4-a4d2-4d8b-9148-e3be6c30e623}">
          <xlrd:rvb i="1296"/>
        </ext>
      </extLst>
    </bk>
    <bk>
      <extLst>
        <ext uri="{3e2802c4-a4d2-4d8b-9148-e3be6c30e623}">
          <xlrd:rvb i="1297"/>
        </ext>
      </extLst>
    </bk>
    <bk>
      <extLst>
        <ext uri="{3e2802c4-a4d2-4d8b-9148-e3be6c30e623}">
          <xlrd:rvb i="1298"/>
        </ext>
      </extLst>
    </bk>
    <bk>
      <extLst>
        <ext uri="{3e2802c4-a4d2-4d8b-9148-e3be6c30e623}">
          <xlrd:rvb i="1299"/>
        </ext>
      </extLst>
    </bk>
    <bk>
      <extLst>
        <ext uri="{3e2802c4-a4d2-4d8b-9148-e3be6c30e623}">
          <xlrd:rvb i="1300"/>
        </ext>
      </extLst>
    </bk>
    <bk>
      <extLst>
        <ext uri="{3e2802c4-a4d2-4d8b-9148-e3be6c30e623}">
          <xlrd:rvb i="1301"/>
        </ext>
      </extLst>
    </bk>
    <bk>
      <extLst>
        <ext uri="{3e2802c4-a4d2-4d8b-9148-e3be6c30e623}">
          <xlrd:rvb i="1302"/>
        </ext>
      </extLst>
    </bk>
    <bk>
      <extLst>
        <ext uri="{3e2802c4-a4d2-4d8b-9148-e3be6c30e623}">
          <xlrd:rvb i="1303"/>
        </ext>
      </extLst>
    </bk>
    <bk>
      <extLst>
        <ext uri="{3e2802c4-a4d2-4d8b-9148-e3be6c30e623}">
          <xlrd:rvb i="1304"/>
        </ext>
      </extLst>
    </bk>
    <bk>
      <extLst>
        <ext uri="{3e2802c4-a4d2-4d8b-9148-e3be6c30e623}">
          <xlrd:rvb i="1305"/>
        </ext>
      </extLst>
    </bk>
    <bk>
      <extLst>
        <ext uri="{3e2802c4-a4d2-4d8b-9148-e3be6c30e623}">
          <xlrd:rvb i="1306"/>
        </ext>
      </extLst>
    </bk>
    <bk>
      <extLst>
        <ext uri="{3e2802c4-a4d2-4d8b-9148-e3be6c30e623}">
          <xlrd:rvb i="1307"/>
        </ext>
      </extLst>
    </bk>
    <bk>
      <extLst>
        <ext uri="{3e2802c4-a4d2-4d8b-9148-e3be6c30e623}">
          <xlrd:rvb i="1308"/>
        </ext>
      </extLst>
    </bk>
    <bk>
      <extLst>
        <ext uri="{3e2802c4-a4d2-4d8b-9148-e3be6c30e623}">
          <xlrd:rvb i="1309"/>
        </ext>
      </extLst>
    </bk>
    <bk>
      <extLst>
        <ext uri="{3e2802c4-a4d2-4d8b-9148-e3be6c30e623}">
          <xlrd:rvb i="1310"/>
        </ext>
      </extLst>
    </bk>
    <bk>
      <extLst>
        <ext uri="{3e2802c4-a4d2-4d8b-9148-e3be6c30e623}">
          <xlrd:rvb i="1311"/>
        </ext>
      </extLst>
    </bk>
    <bk>
      <extLst>
        <ext uri="{3e2802c4-a4d2-4d8b-9148-e3be6c30e623}">
          <xlrd:rvb i="1312"/>
        </ext>
      </extLst>
    </bk>
    <bk>
      <extLst>
        <ext uri="{3e2802c4-a4d2-4d8b-9148-e3be6c30e623}">
          <xlrd:rvb i="1313"/>
        </ext>
      </extLst>
    </bk>
    <bk>
      <extLst>
        <ext uri="{3e2802c4-a4d2-4d8b-9148-e3be6c30e623}">
          <xlrd:rvb i="1314"/>
        </ext>
      </extLst>
    </bk>
    <bk>
      <extLst>
        <ext uri="{3e2802c4-a4d2-4d8b-9148-e3be6c30e623}">
          <xlrd:rvb i="1315"/>
        </ext>
      </extLst>
    </bk>
    <bk>
      <extLst>
        <ext uri="{3e2802c4-a4d2-4d8b-9148-e3be6c30e623}">
          <xlrd:rvb i="1316"/>
        </ext>
      </extLst>
    </bk>
    <bk>
      <extLst>
        <ext uri="{3e2802c4-a4d2-4d8b-9148-e3be6c30e623}">
          <xlrd:rvb i="1317"/>
        </ext>
      </extLst>
    </bk>
    <bk>
      <extLst>
        <ext uri="{3e2802c4-a4d2-4d8b-9148-e3be6c30e623}">
          <xlrd:rvb i="1318"/>
        </ext>
      </extLst>
    </bk>
    <bk>
      <extLst>
        <ext uri="{3e2802c4-a4d2-4d8b-9148-e3be6c30e623}">
          <xlrd:rvb i="1319"/>
        </ext>
      </extLst>
    </bk>
    <bk>
      <extLst>
        <ext uri="{3e2802c4-a4d2-4d8b-9148-e3be6c30e623}">
          <xlrd:rvb i="1320"/>
        </ext>
      </extLst>
    </bk>
    <bk>
      <extLst>
        <ext uri="{3e2802c4-a4d2-4d8b-9148-e3be6c30e623}">
          <xlrd:rvb i="1321"/>
        </ext>
      </extLst>
    </bk>
    <bk>
      <extLst>
        <ext uri="{3e2802c4-a4d2-4d8b-9148-e3be6c30e623}">
          <xlrd:rvb i="1322"/>
        </ext>
      </extLst>
    </bk>
    <bk>
      <extLst>
        <ext uri="{3e2802c4-a4d2-4d8b-9148-e3be6c30e623}">
          <xlrd:rvb i="1323"/>
        </ext>
      </extLst>
    </bk>
    <bk>
      <extLst>
        <ext uri="{3e2802c4-a4d2-4d8b-9148-e3be6c30e623}">
          <xlrd:rvb i="1324"/>
        </ext>
      </extLst>
    </bk>
    <bk>
      <extLst>
        <ext uri="{3e2802c4-a4d2-4d8b-9148-e3be6c30e623}">
          <xlrd:rvb i="1325"/>
        </ext>
      </extLst>
    </bk>
    <bk>
      <extLst>
        <ext uri="{3e2802c4-a4d2-4d8b-9148-e3be6c30e623}">
          <xlrd:rvb i="1326"/>
        </ext>
      </extLst>
    </bk>
    <bk>
      <extLst>
        <ext uri="{3e2802c4-a4d2-4d8b-9148-e3be6c30e623}">
          <xlrd:rvb i="1327"/>
        </ext>
      </extLst>
    </bk>
    <bk>
      <extLst>
        <ext uri="{3e2802c4-a4d2-4d8b-9148-e3be6c30e623}">
          <xlrd:rvb i="1328"/>
        </ext>
      </extLst>
    </bk>
    <bk>
      <extLst>
        <ext uri="{3e2802c4-a4d2-4d8b-9148-e3be6c30e623}">
          <xlrd:rvb i="1329"/>
        </ext>
      </extLst>
    </bk>
    <bk>
      <extLst>
        <ext uri="{3e2802c4-a4d2-4d8b-9148-e3be6c30e623}">
          <xlrd:rvb i="1330"/>
        </ext>
      </extLst>
    </bk>
    <bk>
      <extLst>
        <ext uri="{3e2802c4-a4d2-4d8b-9148-e3be6c30e623}">
          <xlrd:rvb i="1331"/>
        </ext>
      </extLst>
    </bk>
    <bk>
      <extLst>
        <ext uri="{3e2802c4-a4d2-4d8b-9148-e3be6c30e623}">
          <xlrd:rvb i="1332"/>
        </ext>
      </extLst>
    </bk>
    <bk>
      <extLst>
        <ext uri="{3e2802c4-a4d2-4d8b-9148-e3be6c30e623}">
          <xlrd:rvb i="1333"/>
        </ext>
      </extLst>
    </bk>
    <bk>
      <extLst>
        <ext uri="{3e2802c4-a4d2-4d8b-9148-e3be6c30e623}">
          <xlrd:rvb i="1334"/>
        </ext>
      </extLst>
    </bk>
    <bk>
      <extLst>
        <ext uri="{3e2802c4-a4d2-4d8b-9148-e3be6c30e623}">
          <xlrd:rvb i="1335"/>
        </ext>
      </extLst>
    </bk>
    <bk>
      <extLst>
        <ext uri="{3e2802c4-a4d2-4d8b-9148-e3be6c30e623}">
          <xlrd:rvb i="1336"/>
        </ext>
      </extLst>
    </bk>
    <bk>
      <extLst>
        <ext uri="{3e2802c4-a4d2-4d8b-9148-e3be6c30e623}">
          <xlrd:rvb i="1337"/>
        </ext>
      </extLst>
    </bk>
    <bk>
      <extLst>
        <ext uri="{3e2802c4-a4d2-4d8b-9148-e3be6c30e623}">
          <xlrd:rvb i="1338"/>
        </ext>
      </extLst>
    </bk>
    <bk>
      <extLst>
        <ext uri="{3e2802c4-a4d2-4d8b-9148-e3be6c30e623}">
          <xlrd:rvb i="1339"/>
        </ext>
      </extLst>
    </bk>
    <bk>
      <extLst>
        <ext uri="{3e2802c4-a4d2-4d8b-9148-e3be6c30e623}">
          <xlrd:rvb i="1340"/>
        </ext>
      </extLst>
    </bk>
    <bk>
      <extLst>
        <ext uri="{3e2802c4-a4d2-4d8b-9148-e3be6c30e623}">
          <xlrd:rvb i="1341"/>
        </ext>
      </extLst>
    </bk>
    <bk>
      <extLst>
        <ext uri="{3e2802c4-a4d2-4d8b-9148-e3be6c30e623}">
          <xlrd:rvb i="1342"/>
        </ext>
      </extLst>
    </bk>
    <bk>
      <extLst>
        <ext uri="{3e2802c4-a4d2-4d8b-9148-e3be6c30e623}">
          <xlrd:rvb i="1343"/>
        </ext>
      </extLst>
    </bk>
    <bk>
      <extLst>
        <ext uri="{3e2802c4-a4d2-4d8b-9148-e3be6c30e623}">
          <xlrd:rvb i="1344"/>
        </ext>
      </extLst>
    </bk>
    <bk>
      <extLst>
        <ext uri="{3e2802c4-a4d2-4d8b-9148-e3be6c30e623}">
          <xlrd:rvb i="1345"/>
        </ext>
      </extLst>
    </bk>
    <bk>
      <extLst>
        <ext uri="{3e2802c4-a4d2-4d8b-9148-e3be6c30e623}">
          <xlrd:rvb i="1346"/>
        </ext>
      </extLst>
    </bk>
    <bk>
      <extLst>
        <ext uri="{3e2802c4-a4d2-4d8b-9148-e3be6c30e623}">
          <xlrd:rvb i="1347"/>
        </ext>
      </extLst>
    </bk>
    <bk>
      <extLst>
        <ext uri="{3e2802c4-a4d2-4d8b-9148-e3be6c30e623}">
          <xlrd:rvb i="1348"/>
        </ext>
      </extLst>
    </bk>
    <bk>
      <extLst>
        <ext uri="{3e2802c4-a4d2-4d8b-9148-e3be6c30e623}">
          <xlrd:rvb i="1349"/>
        </ext>
      </extLst>
    </bk>
    <bk>
      <extLst>
        <ext uri="{3e2802c4-a4d2-4d8b-9148-e3be6c30e623}">
          <xlrd:rvb i="1350"/>
        </ext>
      </extLst>
    </bk>
    <bk>
      <extLst>
        <ext uri="{3e2802c4-a4d2-4d8b-9148-e3be6c30e623}">
          <xlrd:rvb i="1351"/>
        </ext>
      </extLst>
    </bk>
    <bk>
      <extLst>
        <ext uri="{3e2802c4-a4d2-4d8b-9148-e3be6c30e623}">
          <xlrd:rvb i="1352"/>
        </ext>
      </extLst>
    </bk>
    <bk>
      <extLst>
        <ext uri="{3e2802c4-a4d2-4d8b-9148-e3be6c30e623}">
          <xlrd:rvb i="1353"/>
        </ext>
      </extLst>
    </bk>
    <bk>
      <extLst>
        <ext uri="{3e2802c4-a4d2-4d8b-9148-e3be6c30e623}">
          <xlrd:rvb i="1354"/>
        </ext>
      </extLst>
    </bk>
    <bk>
      <extLst>
        <ext uri="{3e2802c4-a4d2-4d8b-9148-e3be6c30e623}">
          <xlrd:rvb i="1355"/>
        </ext>
      </extLst>
    </bk>
    <bk>
      <extLst>
        <ext uri="{3e2802c4-a4d2-4d8b-9148-e3be6c30e623}">
          <xlrd:rvb i="1356"/>
        </ext>
      </extLst>
    </bk>
    <bk>
      <extLst>
        <ext uri="{3e2802c4-a4d2-4d8b-9148-e3be6c30e623}">
          <xlrd:rvb i="1357"/>
        </ext>
      </extLst>
    </bk>
    <bk>
      <extLst>
        <ext uri="{3e2802c4-a4d2-4d8b-9148-e3be6c30e623}">
          <xlrd:rvb i="1358"/>
        </ext>
      </extLst>
    </bk>
    <bk>
      <extLst>
        <ext uri="{3e2802c4-a4d2-4d8b-9148-e3be6c30e623}">
          <xlrd:rvb i="1359"/>
        </ext>
      </extLst>
    </bk>
    <bk>
      <extLst>
        <ext uri="{3e2802c4-a4d2-4d8b-9148-e3be6c30e623}">
          <xlrd:rvb i="1360"/>
        </ext>
      </extLst>
    </bk>
    <bk>
      <extLst>
        <ext uri="{3e2802c4-a4d2-4d8b-9148-e3be6c30e623}">
          <xlrd:rvb i="1361"/>
        </ext>
      </extLst>
    </bk>
    <bk>
      <extLst>
        <ext uri="{3e2802c4-a4d2-4d8b-9148-e3be6c30e623}">
          <xlrd:rvb i="1362"/>
        </ext>
      </extLst>
    </bk>
    <bk>
      <extLst>
        <ext uri="{3e2802c4-a4d2-4d8b-9148-e3be6c30e623}">
          <xlrd:rvb i="1363"/>
        </ext>
      </extLst>
    </bk>
    <bk>
      <extLst>
        <ext uri="{3e2802c4-a4d2-4d8b-9148-e3be6c30e623}">
          <xlrd:rvb i="1364"/>
        </ext>
      </extLst>
    </bk>
    <bk>
      <extLst>
        <ext uri="{3e2802c4-a4d2-4d8b-9148-e3be6c30e623}">
          <xlrd:rvb i="1365"/>
        </ext>
      </extLst>
    </bk>
    <bk>
      <extLst>
        <ext uri="{3e2802c4-a4d2-4d8b-9148-e3be6c30e623}">
          <xlrd:rvb i="1366"/>
        </ext>
      </extLst>
    </bk>
    <bk>
      <extLst>
        <ext uri="{3e2802c4-a4d2-4d8b-9148-e3be6c30e623}">
          <xlrd:rvb i="1367"/>
        </ext>
      </extLst>
    </bk>
    <bk>
      <extLst>
        <ext uri="{3e2802c4-a4d2-4d8b-9148-e3be6c30e623}">
          <xlrd:rvb i="1368"/>
        </ext>
      </extLst>
    </bk>
    <bk>
      <extLst>
        <ext uri="{3e2802c4-a4d2-4d8b-9148-e3be6c30e623}">
          <xlrd:rvb i="1369"/>
        </ext>
      </extLst>
    </bk>
    <bk>
      <extLst>
        <ext uri="{3e2802c4-a4d2-4d8b-9148-e3be6c30e623}">
          <xlrd:rvb i="1370"/>
        </ext>
      </extLst>
    </bk>
    <bk>
      <extLst>
        <ext uri="{3e2802c4-a4d2-4d8b-9148-e3be6c30e623}">
          <xlrd:rvb i="1371"/>
        </ext>
      </extLst>
    </bk>
    <bk>
      <extLst>
        <ext uri="{3e2802c4-a4d2-4d8b-9148-e3be6c30e623}">
          <xlrd:rvb i="1372"/>
        </ext>
      </extLst>
    </bk>
    <bk>
      <extLst>
        <ext uri="{3e2802c4-a4d2-4d8b-9148-e3be6c30e623}">
          <xlrd:rvb i="1373"/>
        </ext>
      </extLst>
    </bk>
    <bk>
      <extLst>
        <ext uri="{3e2802c4-a4d2-4d8b-9148-e3be6c30e623}">
          <xlrd:rvb i="1374"/>
        </ext>
      </extLst>
    </bk>
    <bk>
      <extLst>
        <ext uri="{3e2802c4-a4d2-4d8b-9148-e3be6c30e623}">
          <xlrd:rvb i="1375"/>
        </ext>
      </extLst>
    </bk>
    <bk>
      <extLst>
        <ext uri="{3e2802c4-a4d2-4d8b-9148-e3be6c30e623}">
          <xlrd:rvb i="1376"/>
        </ext>
      </extLst>
    </bk>
    <bk>
      <extLst>
        <ext uri="{3e2802c4-a4d2-4d8b-9148-e3be6c30e623}">
          <xlrd:rvb i="1377"/>
        </ext>
      </extLst>
    </bk>
    <bk>
      <extLst>
        <ext uri="{3e2802c4-a4d2-4d8b-9148-e3be6c30e623}">
          <xlrd:rvb i="1378"/>
        </ext>
      </extLst>
    </bk>
    <bk>
      <extLst>
        <ext uri="{3e2802c4-a4d2-4d8b-9148-e3be6c30e623}">
          <xlrd:rvb i="1379"/>
        </ext>
      </extLst>
    </bk>
    <bk>
      <extLst>
        <ext uri="{3e2802c4-a4d2-4d8b-9148-e3be6c30e623}">
          <xlrd:rvb i="1380"/>
        </ext>
      </extLst>
    </bk>
    <bk>
      <extLst>
        <ext uri="{3e2802c4-a4d2-4d8b-9148-e3be6c30e623}">
          <xlrd:rvb i="1381"/>
        </ext>
      </extLst>
    </bk>
    <bk>
      <extLst>
        <ext uri="{3e2802c4-a4d2-4d8b-9148-e3be6c30e623}">
          <xlrd:rvb i="1382"/>
        </ext>
      </extLst>
    </bk>
    <bk>
      <extLst>
        <ext uri="{3e2802c4-a4d2-4d8b-9148-e3be6c30e623}">
          <xlrd:rvb i="1383"/>
        </ext>
      </extLst>
    </bk>
    <bk>
      <extLst>
        <ext uri="{3e2802c4-a4d2-4d8b-9148-e3be6c30e623}">
          <xlrd:rvb i="1384"/>
        </ext>
      </extLst>
    </bk>
    <bk>
      <extLst>
        <ext uri="{3e2802c4-a4d2-4d8b-9148-e3be6c30e623}">
          <xlrd:rvb i="1385"/>
        </ext>
      </extLst>
    </bk>
    <bk>
      <extLst>
        <ext uri="{3e2802c4-a4d2-4d8b-9148-e3be6c30e623}">
          <xlrd:rvb i="1386"/>
        </ext>
      </extLst>
    </bk>
    <bk>
      <extLst>
        <ext uri="{3e2802c4-a4d2-4d8b-9148-e3be6c30e623}">
          <xlrd:rvb i="1387"/>
        </ext>
      </extLst>
    </bk>
    <bk>
      <extLst>
        <ext uri="{3e2802c4-a4d2-4d8b-9148-e3be6c30e623}">
          <xlrd:rvb i="1388"/>
        </ext>
      </extLst>
    </bk>
    <bk>
      <extLst>
        <ext uri="{3e2802c4-a4d2-4d8b-9148-e3be6c30e623}">
          <xlrd:rvb i="1389"/>
        </ext>
      </extLst>
    </bk>
    <bk>
      <extLst>
        <ext uri="{3e2802c4-a4d2-4d8b-9148-e3be6c30e623}">
          <xlrd:rvb i="1390"/>
        </ext>
      </extLst>
    </bk>
    <bk>
      <extLst>
        <ext uri="{3e2802c4-a4d2-4d8b-9148-e3be6c30e623}">
          <xlrd:rvb i="1391"/>
        </ext>
      </extLst>
    </bk>
    <bk>
      <extLst>
        <ext uri="{3e2802c4-a4d2-4d8b-9148-e3be6c30e623}">
          <xlrd:rvb i="1392"/>
        </ext>
      </extLst>
    </bk>
    <bk>
      <extLst>
        <ext uri="{3e2802c4-a4d2-4d8b-9148-e3be6c30e623}">
          <xlrd:rvb i="1393"/>
        </ext>
      </extLst>
    </bk>
    <bk>
      <extLst>
        <ext uri="{3e2802c4-a4d2-4d8b-9148-e3be6c30e623}">
          <xlrd:rvb i="1394"/>
        </ext>
      </extLst>
    </bk>
    <bk>
      <extLst>
        <ext uri="{3e2802c4-a4d2-4d8b-9148-e3be6c30e623}">
          <xlrd:rvb i="1395"/>
        </ext>
      </extLst>
    </bk>
    <bk>
      <extLst>
        <ext uri="{3e2802c4-a4d2-4d8b-9148-e3be6c30e623}">
          <xlrd:rvb i="1396"/>
        </ext>
      </extLst>
    </bk>
    <bk>
      <extLst>
        <ext uri="{3e2802c4-a4d2-4d8b-9148-e3be6c30e623}">
          <xlrd:rvb i="1397"/>
        </ext>
      </extLst>
    </bk>
    <bk>
      <extLst>
        <ext uri="{3e2802c4-a4d2-4d8b-9148-e3be6c30e623}">
          <xlrd:rvb i="1398"/>
        </ext>
      </extLst>
    </bk>
    <bk>
      <extLst>
        <ext uri="{3e2802c4-a4d2-4d8b-9148-e3be6c30e623}">
          <xlrd:rvb i="1399"/>
        </ext>
      </extLst>
    </bk>
    <bk>
      <extLst>
        <ext uri="{3e2802c4-a4d2-4d8b-9148-e3be6c30e623}">
          <xlrd:rvb i="1400"/>
        </ext>
      </extLst>
    </bk>
    <bk>
      <extLst>
        <ext uri="{3e2802c4-a4d2-4d8b-9148-e3be6c30e623}">
          <xlrd:rvb i="1401"/>
        </ext>
      </extLst>
    </bk>
    <bk>
      <extLst>
        <ext uri="{3e2802c4-a4d2-4d8b-9148-e3be6c30e623}">
          <xlrd:rvb i="1402"/>
        </ext>
      </extLst>
    </bk>
    <bk>
      <extLst>
        <ext uri="{3e2802c4-a4d2-4d8b-9148-e3be6c30e623}">
          <xlrd:rvb i="1403"/>
        </ext>
      </extLst>
    </bk>
    <bk>
      <extLst>
        <ext uri="{3e2802c4-a4d2-4d8b-9148-e3be6c30e623}">
          <xlrd:rvb i="1404"/>
        </ext>
      </extLst>
    </bk>
    <bk>
      <extLst>
        <ext uri="{3e2802c4-a4d2-4d8b-9148-e3be6c30e623}">
          <xlrd:rvb i="1405"/>
        </ext>
      </extLst>
    </bk>
    <bk>
      <extLst>
        <ext uri="{3e2802c4-a4d2-4d8b-9148-e3be6c30e623}">
          <xlrd:rvb i="1406"/>
        </ext>
      </extLst>
    </bk>
    <bk>
      <extLst>
        <ext uri="{3e2802c4-a4d2-4d8b-9148-e3be6c30e623}">
          <xlrd:rvb i="1407"/>
        </ext>
      </extLst>
    </bk>
    <bk>
      <extLst>
        <ext uri="{3e2802c4-a4d2-4d8b-9148-e3be6c30e623}">
          <xlrd:rvb i="1408"/>
        </ext>
      </extLst>
    </bk>
    <bk>
      <extLst>
        <ext uri="{3e2802c4-a4d2-4d8b-9148-e3be6c30e623}">
          <xlrd:rvb i="1409"/>
        </ext>
      </extLst>
    </bk>
    <bk>
      <extLst>
        <ext uri="{3e2802c4-a4d2-4d8b-9148-e3be6c30e623}">
          <xlrd:rvb i="1410"/>
        </ext>
      </extLst>
    </bk>
    <bk>
      <extLst>
        <ext uri="{3e2802c4-a4d2-4d8b-9148-e3be6c30e623}">
          <xlrd:rvb i="1411"/>
        </ext>
      </extLst>
    </bk>
    <bk>
      <extLst>
        <ext uri="{3e2802c4-a4d2-4d8b-9148-e3be6c30e623}">
          <xlrd:rvb i="1412"/>
        </ext>
      </extLst>
    </bk>
    <bk>
      <extLst>
        <ext uri="{3e2802c4-a4d2-4d8b-9148-e3be6c30e623}">
          <xlrd:rvb i="1413"/>
        </ext>
      </extLst>
    </bk>
    <bk>
      <extLst>
        <ext uri="{3e2802c4-a4d2-4d8b-9148-e3be6c30e623}">
          <xlrd:rvb i="1414"/>
        </ext>
      </extLst>
    </bk>
    <bk>
      <extLst>
        <ext uri="{3e2802c4-a4d2-4d8b-9148-e3be6c30e623}">
          <xlrd:rvb i="1415"/>
        </ext>
      </extLst>
    </bk>
    <bk>
      <extLst>
        <ext uri="{3e2802c4-a4d2-4d8b-9148-e3be6c30e623}">
          <xlrd:rvb i="1416"/>
        </ext>
      </extLst>
    </bk>
    <bk>
      <extLst>
        <ext uri="{3e2802c4-a4d2-4d8b-9148-e3be6c30e623}">
          <xlrd:rvb i="1417"/>
        </ext>
      </extLst>
    </bk>
    <bk>
      <extLst>
        <ext uri="{3e2802c4-a4d2-4d8b-9148-e3be6c30e623}">
          <xlrd:rvb i="1418"/>
        </ext>
      </extLst>
    </bk>
    <bk>
      <extLst>
        <ext uri="{3e2802c4-a4d2-4d8b-9148-e3be6c30e623}">
          <xlrd:rvb i="1419"/>
        </ext>
      </extLst>
    </bk>
    <bk>
      <extLst>
        <ext uri="{3e2802c4-a4d2-4d8b-9148-e3be6c30e623}">
          <xlrd:rvb i="1420"/>
        </ext>
      </extLst>
    </bk>
    <bk>
      <extLst>
        <ext uri="{3e2802c4-a4d2-4d8b-9148-e3be6c30e623}">
          <xlrd:rvb i="1421"/>
        </ext>
      </extLst>
    </bk>
    <bk>
      <extLst>
        <ext uri="{3e2802c4-a4d2-4d8b-9148-e3be6c30e623}">
          <xlrd:rvb i="1422"/>
        </ext>
      </extLst>
    </bk>
    <bk>
      <extLst>
        <ext uri="{3e2802c4-a4d2-4d8b-9148-e3be6c30e623}">
          <xlrd:rvb i="1423"/>
        </ext>
      </extLst>
    </bk>
    <bk>
      <extLst>
        <ext uri="{3e2802c4-a4d2-4d8b-9148-e3be6c30e623}">
          <xlrd:rvb i="1424"/>
        </ext>
      </extLst>
    </bk>
    <bk>
      <extLst>
        <ext uri="{3e2802c4-a4d2-4d8b-9148-e3be6c30e623}">
          <xlrd:rvb i="1425"/>
        </ext>
      </extLst>
    </bk>
    <bk>
      <extLst>
        <ext uri="{3e2802c4-a4d2-4d8b-9148-e3be6c30e623}">
          <xlrd:rvb i="1426"/>
        </ext>
      </extLst>
    </bk>
    <bk>
      <extLst>
        <ext uri="{3e2802c4-a4d2-4d8b-9148-e3be6c30e623}">
          <xlrd:rvb i="1427"/>
        </ext>
      </extLst>
    </bk>
    <bk>
      <extLst>
        <ext uri="{3e2802c4-a4d2-4d8b-9148-e3be6c30e623}">
          <xlrd:rvb i="1428"/>
        </ext>
      </extLst>
    </bk>
    <bk>
      <extLst>
        <ext uri="{3e2802c4-a4d2-4d8b-9148-e3be6c30e623}">
          <xlrd:rvb i="1429"/>
        </ext>
      </extLst>
    </bk>
    <bk>
      <extLst>
        <ext uri="{3e2802c4-a4d2-4d8b-9148-e3be6c30e623}">
          <xlrd:rvb i="1430"/>
        </ext>
      </extLst>
    </bk>
    <bk>
      <extLst>
        <ext uri="{3e2802c4-a4d2-4d8b-9148-e3be6c30e623}">
          <xlrd:rvb i="1431"/>
        </ext>
      </extLst>
    </bk>
    <bk>
      <extLst>
        <ext uri="{3e2802c4-a4d2-4d8b-9148-e3be6c30e623}">
          <xlrd:rvb i="1432"/>
        </ext>
      </extLst>
    </bk>
    <bk>
      <extLst>
        <ext uri="{3e2802c4-a4d2-4d8b-9148-e3be6c30e623}">
          <xlrd:rvb i="1433"/>
        </ext>
      </extLst>
    </bk>
    <bk>
      <extLst>
        <ext uri="{3e2802c4-a4d2-4d8b-9148-e3be6c30e623}">
          <xlrd:rvb i="1434"/>
        </ext>
      </extLst>
    </bk>
    <bk>
      <extLst>
        <ext uri="{3e2802c4-a4d2-4d8b-9148-e3be6c30e623}">
          <xlrd:rvb i="1435"/>
        </ext>
      </extLst>
    </bk>
    <bk>
      <extLst>
        <ext uri="{3e2802c4-a4d2-4d8b-9148-e3be6c30e623}">
          <xlrd:rvb i="1436"/>
        </ext>
      </extLst>
    </bk>
    <bk>
      <extLst>
        <ext uri="{3e2802c4-a4d2-4d8b-9148-e3be6c30e623}">
          <xlrd:rvb i="1437"/>
        </ext>
      </extLst>
    </bk>
    <bk>
      <extLst>
        <ext uri="{3e2802c4-a4d2-4d8b-9148-e3be6c30e623}">
          <xlrd:rvb i="1438"/>
        </ext>
      </extLst>
    </bk>
    <bk>
      <extLst>
        <ext uri="{3e2802c4-a4d2-4d8b-9148-e3be6c30e623}">
          <xlrd:rvb i="1439"/>
        </ext>
      </extLst>
    </bk>
    <bk>
      <extLst>
        <ext uri="{3e2802c4-a4d2-4d8b-9148-e3be6c30e623}">
          <xlrd:rvb i="1440"/>
        </ext>
      </extLst>
    </bk>
    <bk>
      <extLst>
        <ext uri="{3e2802c4-a4d2-4d8b-9148-e3be6c30e623}">
          <xlrd:rvb i="1441"/>
        </ext>
      </extLst>
    </bk>
    <bk>
      <extLst>
        <ext uri="{3e2802c4-a4d2-4d8b-9148-e3be6c30e623}">
          <xlrd:rvb i="1442"/>
        </ext>
      </extLst>
    </bk>
    <bk>
      <extLst>
        <ext uri="{3e2802c4-a4d2-4d8b-9148-e3be6c30e623}">
          <xlrd:rvb i="1443"/>
        </ext>
      </extLst>
    </bk>
    <bk>
      <extLst>
        <ext uri="{3e2802c4-a4d2-4d8b-9148-e3be6c30e623}">
          <xlrd:rvb i="1444"/>
        </ext>
      </extLst>
    </bk>
    <bk>
      <extLst>
        <ext uri="{3e2802c4-a4d2-4d8b-9148-e3be6c30e623}">
          <xlrd:rvb i="1445"/>
        </ext>
      </extLst>
    </bk>
    <bk>
      <extLst>
        <ext uri="{3e2802c4-a4d2-4d8b-9148-e3be6c30e623}">
          <xlrd:rvb i="1446"/>
        </ext>
      </extLst>
    </bk>
    <bk>
      <extLst>
        <ext uri="{3e2802c4-a4d2-4d8b-9148-e3be6c30e623}">
          <xlrd:rvb i="1447"/>
        </ext>
      </extLst>
    </bk>
    <bk>
      <extLst>
        <ext uri="{3e2802c4-a4d2-4d8b-9148-e3be6c30e623}">
          <xlrd:rvb i="1448"/>
        </ext>
      </extLst>
    </bk>
    <bk>
      <extLst>
        <ext uri="{3e2802c4-a4d2-4d8b-9148-e3be6c30e623}">
          <xlrd:rvb i="1449"/>
        </ext>
      </extLst>
    </bk>
    <bk>
      <extLst>
        <ext uri="{3e2802c4-a4d2-4d8b-9148-e3be6c30e623}">
          <xlrd:rvb i="1450"/>
        </ext>
      </extLst>
    </bk>
    <bk>
      <extLst>
        <ext uri="{3e2802c4-a4d2-4d8b-9148-e3be6c30e623}">
          <xlrd:rvb i="1451"/>
        </ext>
      </extLst>
    </bk>
    <bk>
      <extLst>
        <ext uri="{3e2802c4-a4d2-4d8b-9148-e3be6c30e623}">
          <xlrd:rvb i="1452"/>
        </ext>
      </extLst>
    </bk>
    <bk>
      <extLst>
        <ext uri="{3e2802c4-a4d2-4d8b-9148-e3be6c30e623}">
          <xlrd:rvb i="1453"/>
        </ext>
      </extLst>
    </bk>
    <bk>
      <extLst>
        <ext uri="{3e2802c4-a4d2-4d8b-9148-e3be6c30e623}">
          <xlrd:rvb i="1454"/>
        </ext>
      </extLst>
    </bk>
    <bk>
      <extLst>
        <ext uri="{3e2802c4-a4d2-4d8b-9148-e3be6c30e623}">
          <xlrd:rvb i="1455"/>
        </ext>
      </extLst>
    </bk>
    <bk>
      <extLst>
        <ext uri="{3e2802c4-a4d2-4d8b-9148-e3be6c30e623}">
          <xlrd:rvb i="1456"/>
        </ext>
      </extLst>
    </bk>
    <bk>
      <extLst>
        <ext uri="{3e2802c4-a4d2-4d8b-9148-e3be6c30e623}">
          <xlrd:rvb i="1457"/>
        </ext>
      </extLst>
    </bk>
    <bk>
      <extLst>
        <ext uri="{3e2802c4-a4d2-4d8b-9148-e3be6c30e623}">
          <xlrd:rvb i="1458"/>
        </ext>
      </extLst>
    </bk>
    <bk>
      <extLst>
        <ext uri="{3e2802c4-a4d2-4d8b-9148-e3be6c30e623}">
          <xlrd:rvb i="1459"/>
        </ext>
      </extLst>
    </bk>
    <bk>
      <extLst>
        <ext uri="{3e2802c4-a4d2-4d8b-9148-e3be6c30e623}">
          <xlrd:rvb i="1460"/>
        </ext>
      </extLst>
    </bk>
    <bk>
      <extLst>
        <ext uri="{3e2802c4-a4d2-4d8b-9148-e3be6c30e623}">
          <xlrd:rvb i="1461"/>
        </ext>
      </extLst>
    </bk>
    <bk>
      <extLst>
        <ext uri="{3e2802c4-a4d2-4d8b-9148-e3be6c30e623}">
          <xlrd:rvb i="1462"/>
        </ext>
      </extLst>
    </bk>
    <bk>
      <extLst>
        <ext uri="{3e2802c4-a4d2-4d8b-9148-e3be6c30e623}">
          <xlrd:rvb i="1463"/>
        </ext>
      </extLst>
    </bk>
    <bk>
      <extLst>
        <ext uri="{3e2802c4-a4d2-4d8b-9148-e3be6c30e623}">
          <xlrd:rvb i="1464"/>
        </ext>
      </extLst>
    </bk>
    <bk>
      <extLst>
        <ext uri="{3e2802c4-a4d2-4d8b-9148-e3be6c30e623}">
          <xlrd:rvb i="1465"/>
        </ext>
      </extLst>
    </bk>
    <bk>
      <extLst>
        <ext uri="{3e2802c4-a4d2-4d8b-9148-e3be6c30e623}">
          <xlrd:rvb i="1466"/>
        </ext>
      </extLst>
    </bk>
    <bk>
      <extLst>
        <ext uri="{3e2802c4-a4d2-4d8b-9148-e3be6c30e623}">
          <xlrd:rvb i="1467"/>
        </ext>
      </extLst>
    </bk>
    <bk>
      <extLst>
        <ext uri="{3e2802c4-a4d2-4d8b-9148-e3be6c30e623}">
          <xlrd:rvb i="1468"/>
        </ext>
      </extLst>
    </bk>
    <bk>
      <extLst>
        <ext uri="{3e2802c4-a4d2-4d8b-9148-e3be6c30e623}">
          <xlrd:rvb i="1469"/>
        </ext>
      </extLst>
    </bk>
    <bk>
      <extLst>
        <ext uri="{3e2802c4-a4d2-4d8b-9148-e3be6c30e623}">
          <xlrd:rvb i="1470"/>
        </ext>
      </extLst>
    </bk>
    <bk>
      <extLst>
        <ext uri="{3e2802c4-a4d2-4d8b-9148-e3be6c30e623}">
          <xlrd:rvb i="1471"/>
        </ext>
      </extLst>
    </bk>
    <bk>
      <extLst>
        <ext uri="{3e2802c4-a4d2-4d8b-9148-e3be6c30e623}">
          <xlrd:rvb i="1472"/>
        </ext>
      </extLst>
    </bk>
    <bk>
      <extLst>
        <ext uri="{3e2802c4-a4d2-4d8b-9148-e3be6c30e623}">
          <xlrd:rvb i="1473"/>
        </ext>
      </extLst>
    </bk>
    <bk>
      <extLst>
        <ext uri="{3e2802c4-a4d2-4d8b-9148-e3be6c30e623}">
          <xlrd:rvb i="1474"/>
        </ext>
      </extLst>
    </bk>
    <bk>
      <extLst>
        <ext uri="{3e2802c4-a4d2-4d8b-9148-e3be6c30e623}">
          <xlrd:rvb i="1475"/>
        </ext>
      </extLst>
    </bk>
    <bk>
      <extLst>
        <ext uri="{3e2802c4-a4d2-4d8b-9148-e3be6c30e623}">
          <xlrd:rvb i="1476"/>
        </ext>
      </extLst>
    </bk>
    <bk>
      <extLst>
        <ext uri="{3e2802c4-a4d2-4d8b-9148-e3be6c30e623}">
          <xlrd:rvb i="1477"/>
        </ext>
      </extLst>
    </bk>
    <bk>
      <extLst>
        <ext uri="{3e2802c4-a4d2-4d8b-9148-e3be6c30e623}">
          <xlrd:rvb i="1478"/>
        </ext>
      </extLst>
    </bk>
    <bk>
      <extLst>
        <ext uri="{3e2802c4-a4d2-4d8b-9148-e3be6c30e623}">
          <xlrd:rvb i="1479"/>
        </ext>
      </extLst>
    </bk>
    <bk>
      <extLst>
        <ext uri="{3e2802c4-a4d2-4d8b-9148-e3be6c30e623}">
          <xlrd:rvb i="1480"/>
        </ext>
      </extLst>
    </bk>
    <bk>
      <extLst>
        <ext uri="{3e2802c4-a4d2-4d8b-9148-e3be6c30e623}">
          <xlrd:rvb i="1481"/>
        </ext>
      </extLst>
    </bk>
    <bk>
      <extLst>
        <ext uri="{3e2802c4-a4d2-4d8b-9148-e3be6c30e623}">
          <xlrd:rvb i="1482"/>
        </ext>
      </extLst>
    </bk>
    <bk>
      <extLst>
        <ext uri="{3e2802c4-a4d2-4d8b-9148-e3be6c30e623}">
          <xlrd:rvb i="1483"/>
        </ext>
      </extLst>
    </bk>
    <bk>
      <extLst>
        <ext uri="{3e2802c4-a4d2-4d8b-9148-e3be6c30e623}">
          <xlrd:rvb i="1484"/>
        </ext>
      </extLst>
    </bk>
    <bk>
      <extLst>
        <ext uri="{3e2802c4-a4d2-4d8b-9148-e3be6c30e623}">
          <xlrd:rvb i="1485"/>
        </ext>
      </extLst>
    </bk>
    <bk>
      <extLst>
        <ext uri="{3e2802c4-a4d2-4d8b-9148-e3be6c30e623}">
          <xlrd:rvb i="1486"/>
        </ext>
      </extLst>
    </bk>
    <bk>
      <extLst>
        <ext uri="{3e2802c4-a4d2-4d8b-9148-e3be6c30e623}">
          <xlrd:rvb i="1487"/>
        </ext>
      </extLst>
    </bk>
    <bk>
      <extLst>
        <ext uri="{3e2802c4-a4d2-4d8b-9148-e3be6c30e623}">
          <xlrd:rvb i="1488"/>
        </ext>
      </extLst>
    </bk>
    <bk>
      <extLst>
        <ext uri="{3e2802c4-a4d2-4d8b-9148-e3be6c30e623}">
          <xlrd:rvb i="1489"/>
        </ext>
      </extLst>
    </bk>
    <bk>
      <extLst>
        <ext uri="{3e2802c4-a4d2-4d8b-9148-e3be6c30e623}">
          <xlrd:rvb i="1490"/>
        </ext>
      </extLst>
    </bk>
    <bk>
      <extLst>
        <ext uri="{3e2802c4-a4d2-4d8b-9148-e3be6c30e623}">
          <xlrd:rvb i="1491"/>
        </ext>
      </extLst>
    </bk>
    <bk>
      <extLst>
        <ext uri="{3e2802c4-a4d2-4d8b-9148-e3be6c30e623}">
          <xlrd:rvb i="1492"/>
        </ext>
      </extLst>
    </bk>
    <bk>
      <extLst>
        <ext uri="{3e2802c4-a4d2-4d8b-9148-e3be6c30e623}">
          <xlrd:rvb i="1493"/>
        </ext>
      </extLst>
    </bk>
    <bk>
      <extLst>
        <ext uri="{3e2802c4-a4d2-4d8b-9148-e3be6c30e623}">
          <xlrd:rvb i="1494"/>
        </ext>
      </extLst>
    </bk>
    <bk>
      <extLst>
        <ext uri="{3e2802c4-a4d2-4d8b-9148-e3be6c30e623}">
          <xlrd:rvb i="1495"/>
        </ext>
      </extLst>
    </bk>
    <bk>
      <extLst>
        <ext uri="{3e2802c4-a4d2-4d8b-9148-e3be6c30e623}">
          <xlrd:rvb i="1496"/>
        </ext>
      </extLst>
    </bk>
    <bk>
      <extLst>
        <ext uri="{3e2802c4-a4d2-4d8b-9148-e3be6c30e623}">
          <xlrd:rvb i="1497"/>
        </ext>
      </extLst>
    </bk>
    <bk>
      <extLst>
        <ext uri="{3e2802c4-a4d2-4d8b-9148-e3be6c30e623}">
          <xlrd:rvb i="1498"/>
        </ext>
      </extLst>
    </bk>
    <bk>
      <extLst>
        <ext uri="{3e2802c4-a4d2-4d8b-9148-e3be6c30e623}">
          <xlrd:rvb i="1499"/>
        </ext>
      </extLst>
    </bk>
    <bk>
      <extLst>
        <ext uri="{3e2802c4-a4d2-4d8b-9148-e3be6c30e623}">
          <xlrd:rvb i="1500"/>
        </ext>
      </extLst>
    </bk>
    <bk>
      <extLst>
        <ext uri="{3e2802c4-a4d2-4d8b-9148-e3be6c30e623}">
          <xlrd:rvb i="1501"/>
        </ext>
      </extLst>
    </bk>
    <bk>
      <extLst>
        <ext uri="{3e2802c4-a4d2-4d8b-9148-e3be6c30e623}">
          <xlrd:rvb i="1502"/>
        </ext>
      </extLst>
    </bk>
    <bk>
      <extLst>
        <ext uri="{3e2802c4-a4d2-4d8b-9148-e3be6c30e623}">
          <xlrd:rvb i="1503"/>
        </ext>
      </extLst>
    </bk>
    <bk>
      <extLst>
        <ext uri="{3e2802c4-a4d2-4d8b-9148-e3be6c30e623}">
          <xlrd:rvb i="1504"/>
        </ext>
      </extLst>
    </bk>
    <bk>
      <extLst>
        <ext uri="{3e2802c4-a4d2-4d8b-9148-e3be6c30e623}">
          <xlrd:rvb i="1505"/>
        </ext>
      </extLst>
    </bk>
    <bk>
      <extLst>
        <ext uri="{3e2802c4-a4d2-4d8b-9148-e3be6c30e623}">
          <xlrd:rvb i="1506"/>
        </ext>
      </extLst>
    </bk>
    <bk>
      <extLst>
        <ext uri="{3e2802c4-a4d2-4d8b-9148-e3be6c30e623}">
          <xlrd:rvb i="1507"/>
        </ext>
      </extLst>
    </bk>
    <bk>
      <extLst>
        <ext uri="{3e2802c4-a4d2-4d8b-9148-e3be6c30e623}">
          <xlrd:rvb i="1508"/>
        </ext>
      </extLst>
    </bk>
    <bk>
      <extLst>
        <ext uri="{3e2802c4-a4d2-4d8b-9148-e3be6c30e623}">
          <xlrd:rvb i="1509"/>
        </ext>
      </extLst>
    </bk>
    <bk>
      <extLst>
        <ext uri="{3e2802c4-a4d2-4d8b-9148-e3be6c30e623}">
          <xlrd:rvb i="1510"/>
        </ext>
      </extLst>
    </bk>
    <bk>
      <extLst>
        <ext uri="{3e2802c4-a4d2-4d8b-9148-e3be6c30e623}">
          <xlrd:rvb i="1511"/>
        </ext>
      </extLst>
    </bk>
    <bk>
      <extLst>
        <ext uri="{3e2802c4-a4d2-4d8b-9148-e3be6c30e623}">
          <xlrd:rvb i="1512"/>
        </ext>
      </extLst>
    </bk>
    <bk>
      <extLst>
        <ext uri="{3e2802c4-a4d2-4d8b-9148-e3be6c30e623}">
          <xlrd:rvb i="1513"/>
        </ext>
      </extLst>
    </bk>
    <bk>
      <extLst>
        <ext uri="{3e2802c4-a4d2-4d8b-9148-e3be6c30e623}">
          <xlrd:rvb i="1514"/>
        </ext>
      </extLst>
    </bk>
    <bk>
      <extLst>
        <ext uri="{3e2802c4-a4d2-4d8b-9148-e3be6c30e623}">
          <xlrd:rvb i="1515"/>
        </ext>
      </extLst>
    </bk>
    <bk>
      <extLst>
        <ext uri="{3e2802c4-a4d2-4d8b-9148-e3be6c30e623}">
          <xlrd:rvb i="1516"/>
        </ext>
      </extLst>
    </bk>
    <bk>
      <extLst>
        <ext uri="{3e2802c4-a4d2-4d8b-9148-e3be6c30e623}">
          <xlrd:rvb i="1517"/>
        </ext>
      </extLst>
    </bk>
    <bk>
      <extLst>
        <ext uri="{3e2802c4-a4d2-4d8b-9148-e3be6c30e623}">
          <xlrd:rvb i="1518"/>
        </ext>
      </extLst>
    </bk>
    <bk>
      <extLst>
        <ext uri="{3e2802c4-a4d2-4d8b-9148-e3be6c30e623}">
          <xlrd:rvb i="1519"/>
        </ext>
      </extLst>
    </bk>
    <bk>
      <extLst>
        <ext uri="{3e2802c4-a4d2-4d8b-9148-e3be6c30e623}">
          <xlrd:rvb i="1520"/>
        </ext>
      </extLst>
    </bk>
    <bk>
      <extLst>
        <ext uri="{3e2802c4-a4d2-4d8b-9148-e3be6c30e623}">
          <xlrd:rvb i="1521"/>
        </ext>
      </extLst>
    </bk>
    <bk>
      <extLst>
        <ext uri="{3e2802c4-a4d2-4d8b-9148-e3be6c30e623}">
          <xlrd:rvb i="1522"/>
        </ext>
      </extLst>
    </bk>
    <bk>
      <extLst>
        <ext uri="{3e2802c4-a4d2-4d8b-9148-e3be6c30e623}">
          <xlrd:rvb i="1523"/>
        </ext>
      </extLst>
    </bk>
    <bk>
      <extLst>
        <ext uri="{3e2802c4-a4d2-4d8b-9148-e3be6c30e623}">
          <xlrd:rvb i="1524"/>
        </ext>
      </extLst>
    </bk>
    <bk>
      <extLst>
        <ext uri="{3e2802c4-a4d2-4d8b-9148-e3be6c30e623}">
          <xlrd:rvb i="1525"/>
        </ext>
      </extLst>
    </bk>
    <bk>
      <extLst>
        <ext uri="{3e2802c4-a4d2-4d8b-9148-e3be6c30e623}">
          <xlrd:rvb i="1526"/>
        </ext>
      </extLst>
    </bk>
    <bk>
      <extLst>
        <ext uri="{3e2802c4-a4d2-4d8b-9148-e3be6c30e623}">
          <xlrd:rvb i="1527"/>
        </ext>
      </extLst>
    </bk>
    <bk>
      <extLst>
        <ext uri="{3e2802c4-a4d2-4d8b-9148-e3be6c30e623}">
          <xlrd:rvb i="1528"/>
        </ext>
      </extLst>
    </bk>
    <bk>
      <extLst>
        <ext uri="{3e2802c4-a4d2-4d8b-9148-e3be6c30e623}">
          <xlrd:rvb i="1529"/>
        </ext>
      </extLst>
    </bk>
    <bk>
      <extLst>
        <ext uri="{3e2802c4-a4d2-4d8b-9148-e3be6c30e623}">
          <xlrd:rvb i="1530"/>
        </ext>
      </extLst>
    </bk>
    <bk>
      <extLst>
        <ext uri="{3e2802c4-a4d2-4d8b-9148-e3be6c30e623}">
          <xlrd:rvb i="1531"/>
        </ext>
      </extLst>
    </bk>
    <bk>
      <extLst>
        <ext uri="{3e2802c4-a4d2-4d8b-9148-e3be6c30e623}">
          <xlrd:rvb i="1532"/>
        </ext>
      </extLst>
    </bk>
    <bk>
      <extLst>
        <ext uri="{3e2802c4-a4d2-4d8b-9148-e3be6c30e623}">
          <xlrd:rvb i="1533"/>
        </ext>
      </extLst>
    </bk>
    <bk>
      <extLst>
        <ext uri="{3e2802c4-a4d2-4d8b-9148-e3be6c30e623}">
          <xlrd:rvb i="1534"/>
        </ext>
      </extLst>
    </bk>
    <bk>
      <extLst>
        <ext uri="{3e2802c4-a4d2-4d8b-9148-e3be6c30e623}">
          <xlrd:rvb i="1535"/>
        </ext>
      </extLst>
    </bk>
    <bk>
      <extLst>
        <ext uri="{3e2802c4-a4d2-4d8b-9148-e3be6c30e623}">
          <xlrd:rvb i="1536"/>
        </ext>
      </extLst>
    </bk>
    <bk>
      <extLst>
        <ext uri="{3e2802c4-a4d2-4d8b-9148-e3be6c30e623}">
          <xlrd:rvb i="1537"/>
        </ext>
      </extLst>
    </bk>
    <bk>
      <extLst>
        <ext uri="{3e2802c4-a4d2-4d8b-9148-e3be6c30e623}">
          <xlrd:rvb i="1538"/>
        </ext>
      </extLst>
    </bk>
    <bk>
      <extLst>
        <ext uri="{3e2802c4-a4d2-4d8b-9148-e3be6c30e623}">
          <xlrd:rvb i="1539"/>
        </ext>
      </extLst>
    </bk>
    <bk>
      <extLst>
        <ext uri="{3e2802c4-a4d2-4d8b-9148-e3be6c30e623}">
          <xlrd:rvb i="1540"/>
        </ext>
      </extLst>
    </bk>
    <bk>
      <extLst>
        <ext uri="{3e2802c4-a4d2-4d8b-9148-e3be6c30e623}">
          <xlrd:rvb i="1541"/>
        </ext>
      </extLst>
    </bk>
    <bk>
      <extLst>
        <ext uri="{3e2802c4-a4d2-4d8b-9148-e3be6c30e623}">
          <xlrd:rvb i="1542"/>
        </ext>
      </extLst>
    </bk>
    <bk>
      <extLst>
        <ext uri="{3e2802c4-a4d2-4d8b-9148-e3be6c30e623}">
          <xlrd:rvb i="1543"/>
        </ext>
      </extLst>
    </bk>
    <bk>
      <extLst>
        <ext uri="{3e2802c4-a4d2-4d8b-9148-e3be6c30e623}">
          <xlrd:rvb i="1544"/>
        </ext>
      </extLst>
    </bk>
    <bk>
      <extLst>
        <ext uri="{3e2802c4-a4d2-4d8b-9148-e3be6c30e623}">
          <xlrd:rvb i="1545"/>
        </ext>
      </extLst>
    </bk>
    <bk>
      <extLst>
        <ext uri="{3e2802c4-a4d2-4d8b-9148-e3be6c30e623}">
          <xlrd:rvb i="1546"/>
        </ext>
      </extLst>
    </bk>
    <bk>
      <extLst>
        <ext uri="{3e2802c4-a4d2-4d8b-9148-e3be6c30e623}">
          <xlrd:rvb i="1547"/>
        </ext>
      </extLst>
    </bk>
    <bk>
      <extLst>
        <ext uri="{3e2802c4-a4d2-4d8b-9148-e3be6c30e623}">
          <xlrd:rvb i="1548"/>
        </ext>
      </extLst>
    </bk>
    <bk>
      <extLst>
        <ext uri="{3e2802c4-a4d2-4d8b-9148-e3be6c30e623}">
          <xlrd:rvb i="1549"/>
        </ext>
      </extLst>
    </bk>
    <bk>
      <extLst>
        <ext uri="{3e2802c4-a4d2-4d8b-9148-e3be6c30e623}">
          <xlrd:rvb i="1550"/>
        </ext>
      </extLst>
    </bk>
    <bk>
      <extLst>
        <ext uri="{3e2802c4-a4d2-4d8b-9148-e3be6c30e623}">
          <xlrd:rvb i="1551"/>
        </ext>
      </extLst>
    </bk>
    <bk>
      <extLst>
        <ext uri="{3e2802c4-a4d2-4d8b-9148-e3be6c30e623}">
          <xlrd:rvb i="1552"/>
        </ext>
      </extLst>
    </bk>
    <bk>
      <extLst>
        <ext uri="{3e2802c4-a4d2-4d8b-9148-e3be6c30e623}">
          <xlrd:rvb i="1553"/>
        </ext>
      </extLst>
    </bk>
    <bk>
      <extLst>
        <ext uri="{3e2802c4-a4d2-4d8b-9148-e3be6c30e623}">
          <xlrd:rvb i="1554"/>
        </ext>
      </extLst>
    </bk>
    <bk>
      <extLst>
        <ext uri="{3e2802c4-a4d2-4d8b-9148-e3be6c30e623}">
          <xlrd:rvb i="1555"/>
        </ext>
      </extLst>
    </bk>
    <bk>
      <extLst>
        <ext uri="{3e2802c4-a4d2-4d8b-9148-e3be6c30e623}">
          <xlrd:rvb i="1556"/>
        </ext>
      </extLst>
    </bk>
    <bk>
      <extLst>
        <ext uri="{3e2802c4-a4d2-4d8b-9148-e3be6c30e623}">
          <xlrd:rvb i="1557"/>
        </ext>
      </extLst>
    </bk>
    <bk>
      <extLst>
        <ext uri="{3e2802c4-a4d2-4d8b-9148-e3be6c30e623}">
          <xlrd:rvb i="1558"/>
        </ext>
      </extLst>
    </bk>
    <bk>
      <extLst>
        <ext uri="{3e2802c4-a4d2-4d8b-9148-e3be6c30e623}">
          <xlrd:rvb i="1559"/>
        </ext>
      </extLst>
    </bk>
    <bk>
      <extLst>
        <ext uri="{3e2802c4-a4d2-4d8b-9148-e3be6c30e623}">
          <xlrd:rvb i="1560"/>
        </ext>
      </extLst>
    </bk>
    <bk>
      <extLst>
        <ext uri="{3e2802c4-a4d2-4d8b-9148-e3be6c30e623}">
          <xlrd:rvb i="1561"/>
        </ext>
      </extLst>
    </bk>
    <bk>
      <extLst>
        <ext uri="{3e2802c4-a4d2-4d8b-9148-e3be6c30e623}">
          <xlrd:rvb i="1562"/>
        </ext>
      </extLst>
    </bk>
    <bk>
      <extLst>
        <ext uri="{3e2802c4-a4d2-4d8b-9148-e3be6c30e623}">
          <xlrd:rvb i="1563"/>
        </ext>
      </extLst>
    </bk>
    <bk>
      <extLst>
        <ext uri="{3e2802c4-a4d2-4d8b-9148-e3be6c30e623}">
          <xlrd:rvb i="1564"/>
        </ext>
      </extLst>
    </bk>
    <bk>
      <extLst>
        <ext uri="{3e2802c4-a4d2-4d8b-9148-e3be6c30e623}">
          <xlrd:rvb i="1565"/>
        </ext>
      </extLst>
    </bk>
    <bk>
      <extLst>
        <ext uri="{3e2802c4-a4d2-4d8b-9148-e3be6c30e623}">
          <xlrd:rvb i="1566"/>
        </ext>
      </extLst>
    </bk>
    <bk>
      <extLst>
        <ext uri="{3e2802c4-a4d2-4d8b-9148-e3be6c30e623}">
          <xlrd:rvb i="1567"/>
        </ext>
      </extLst>
    </bk>
    <bk>
      <extLst>
        <ext uri="{3e2802c4-a4d2-4d8b-9148-e3be6c30e623}">
          <xlrd:rvb i="1568"/>
        </ext>
      </extLst>
    </bk>
    <bk>
      <extLst>
        <ext uri="{3e2802c4-a4d2-4d8b-9148-e3be6c30e623}">
          <xlrd:rvb i="1569"/>
        </ext>
      </extLst>
    </bk>
    <bk>
      <extLst>
        <ext uri="{3e2802c4-a4d2-4d8b-9148-e3be6c30e623}">
          <xlrd:rvb i="1570"/>
        </ext>
      </extLst>
    </bk>
    <bk>
      <extLst>
        <ext uri="{3e2802c4-a4d2-4d8b-9148-e3be6c30e623}">
          <xlrd:rvb i="1571"/>
        </ext>
      </extLst>
    </bk>
    <bk>
      <extLst>
        <ext uri="{3e2802c4-a4d2-4d8b-9148-e3be6c30e623}">
          <xlrd:rvb i="1572"/>
        </ext>
      </extLst>
    </bk>
    <bk>
      <extLst>
        <ext uri="{3e2802c4-a4d2-4d8b-9148-e3be6c30e623}">
          <xlrd:rvb i="1573"/>
        </ext>
      </extLst>
    </bk>
    <bk>
      <extLst>
        <ext uri="{3e2802c4-a4d2-4d8b-9148-e3be6c30e623}">
          <xlrd:rvb i="1574"/>
        </ext>
      </extLst>
    </bk>
    <bk>
      <extLst>
        <ext uri="{3e2802c4-a4d2-4d8b-9148-e3be6c30e623}">
          <xlrd:rvb i="1575"/>
        </ext>
      </extLst>
    </bk>
    <bk>
      <extLst>
        <ext uri="{3e2802c4-a4d2-4d8b-9148-e3be6c30e623}">
          <xlrd:rvb i="1576"/>
        </ext>
      </extLst>
    </bk>
    <bk>
      <extLst>
        <ext uri="{3e2802c4-a4d2-4d8b-9148-e3be6c30e623}">
          <xlrd:rvb i="1577"/>
        </ext>
      </extLst>
    </bk>
    <bk>
      <extLst>
        <ext uri="{3e2802c4-a4d2-4d8b-9148-e3be6c30e623}">
          <xlrd:rvb i="1578"/>
        </ext>
      </extLst>
    </bk>
    <bk>
      <extLst>
        <ext uri="{3e2802c4-a4d2-4d8b-9148-e3be6c30e623}">
          <xlrd:rvb i="1579"/>
        </ext>
      </extLst>
    </bk>
    <bk>
      <extLst>
        <ext uri="{3e2802c4-a4d2-4d8b-9148-e3be6c30e623}">
          <xlrd:rvb i="1580"/>
        </ext>
      </extLst>
    </bk>
    <bk>
      <extLst>
        <ext uri="{3e2802c4-a4d2-4d8b-9148-e3be6c30e623}">
          <xlrd:rvb i="1581"/>
        </ext>
      </extLst>
    </bk>
    <bk>
      <extLst>
        <ext uri="{3e2802c4-a4d2-4d8b-9148-e3be6c30e623}">
          <xlrd:rvb i="1582"/>
        </ext>
      </extLst>
    </bk>
    <bk>
      <extLst>
        <ext uri="{3e2802c4-a4d2-4d8b-9148-e3be6c30e623}">
          <xlrd:rvb i="1583"/>
        </ext>
      </extLst>
    </bk>
    <bk>
      <extLst>
        <ext uri="{3e2802c4-a4d2-4d8b-9148-e3be6c30e623}">
          <xlrd:rvb i="1584"/>
        </ext>
      </extLst>
    </bk>
    <bk>
      <extLst>
        <ext uri="{3e2802c4-a4d2-4d8b-9148-e3be6c30e623}">
          <xlrd:rvb i="1585"/>
        </ext>
      </extLst>
    </bk>
    <bk>
      <extLst>
        <ext uri="{3e2802c4-a4d2-4d8b-9148-e3be6c30e623}">
          <xlrd:rvb i="1586"/>
        </ext>
      </extLst>
    </bk>
    <bk>
      <extLst>
        <ext uri="{3e2802c4-a4d2-4d8b-9148-e3be6c30e623}">
          <xlrd:rvb i="1587"/>
        </ext>
      </extLst>
    </bk>
    <bk>
      <extLst>
        <ext uri="{3e2802c4-a4d2-4d8b-9148-e3be6c30e623}">
          <xlrd:rvb i="1588"/>
        </ext>
      </extLst>
    </bk>
    <bk>
      <extLst>
        <ext uri="{3e2802c4-a4d2-4d8b-9148-e3be6c30e623}">
          <xlrd:rvb i="1589"/>
        </ext>
      </extLst>
    </bk>
    <bk>
      <extLst>
        <ext uri="{3e2802c4-a4d2-4d8b-9148-e3be6c30e623}">
          <xlrd:rvb i="1590"/>
        </ext>
      </extLst>
    </bk>
    <bk>
      <extLst>
        <ext uri="{3e2802c4-a4d2-4d8b-9148-e3be6c30e623}">
          <xlrd:rvb i="1591"/>
        </ext>
      </extLst>
    </bk>
    <bk>
      <extLst>
        <ext uri="{3e2802c4-a4d2-4d8b-9148-e3be6c30e623}">
          <xlrd:rvb i="1592"/>
        </ext>
      </extLst>
    </bk>
    <bk>
      <extLst>
        <ext uri="{3e2802c4-a4d2-4d8b-9148-e3be6c30e623}">
          <xlrd:rvb i="1593"/>
        </ext>
      </extLst>
    </bk>
    <bk>
      <extLst>
        <ext uri="{3e2802c4-a4d2-4d8b-9148-e3be6c30e623}">
          <xlrd:rvb i="1594"/>
        </ext>
      </extLst>
    </bk>
    <bk>
      <extLst>
        <ext uri="{3e2802c4-a4d2-4d8b-9148-e3be6c30e623}">
          <xlrd:rvb i="1595"/>
        </ext>
      </extLst>
    </bk>
    <bk>
      <extLst>
        <ext uri="{3e2802c4-a4d2-4d8b-9148-e3be6c30e623}">
          <xlrd:rvb i="1596"/>
        </ext>
      </extLst>
    </bk>
    <bk>
      <extLst>
        <ext uri="{3e2802c4-a4d2-4d8b-9148-e3be6c30e623}">
          <xlrd:rvb i="1597"/>
        </ext>
      </extLst>
    </bk>
    <bk>
      <extLst>
        <ext uri="{3e2802c4-a4d2-4d8b-9148-e3be6c30e623}">
          <xlrd:rvb i="1598"/>
        </ext>
      </extLst>
    </bk>
    <bk>
      <extLst>
        <ext uri="{3e2802c4-a4d2-4d8b-9148-e3be6c30e623}">
          <xlrd:rvb i="1599"/>
        </ext>
      </extLst>
    </bk>
    <bk>
      <extLst>
        <ext uri="{3e2802c4-a4d2-4d8b-9148-e3be6c30e623}">
          <xlrd:rvb i="1600"/>
        </ext>
      </extLst>
    </bk>
    <bk>
      <extLst>
        <ext uri="{3e2802c4-a4d2-4d8b-9148-e3be6c30e623}">
          <xlrd:rvb i="1601"/>
        </ext>
      </extLst>
    </bk>
    <bk>
      <extLst>
        <ext uri="{3e2802c4-a4d2-4d8b-9148-e3be6c30e623}">
          <xlrd:rvb i="1602"/>
        </ext>
      </extLst>
    </bk>
    <bk>
      <extLst>
        <ext uri="{3e2802c4-a4d2-4d8b-9148-e3be6c30e623}">
          <xlrd:rvb i="1603"/>
        </ext>
      </extLst>
    </bk>
    <bk>
      <extLst>
        <ext uri="{3e2802c4-a4d2-4d8b-9148-e3be6c30e623}">
          <xlrd:rvb i="1604"/>
        </ext>
      </extLst>
    </bk>
    <bk>
      <extLst>
        <ext uri="{3e2802c4-a4d2-4d8b-9148-e3be6c30e623}">
          <xlrd:rvb i="1605"/>
        </ext>
      </extLst>
    </bk>
    <bk>
      <extLst>
        <ext uri="{3e2802c4-a4d2-4d8b-9148-e3be6c30e623}">
          <xlrd:rvb i="1606"/>
        </ext>
      </extLst>
    </bk>
    <bk>
      <extLst>
        <ext uri="{3e2802c4-a4d2-4d8b-9148-e3be6c30e623}">
          <xlrd:rvb i="1607"/>
        </ext>
      </extLst>
    </bk>
    <bk>
      <extLst>
        <ext uri="{3e2802c4-a4d2-4d8b-9148-e3be6c30e623}">
          <xlrd:rvb i="1608"/>
        </ext>
      </extLst>
    </bk>
    <bk>
      <extLst>
        <ext uri="{3e2802c4-a4d2-4d8b-9148-e3be6c30e623}">
          <xlrd:rvb i="1609"/>
        </ext>
      </extLst>
    </bk>
    <bk>
      <extLst>
        <ext uri="{3e2802c4-a4d2-4d8b-9148-e3be6c30e623}">
          <xlrd:rvb i="1610"/>
        </ext>
      </extLst>
    </bk>
    <bk>
      <extLst>
        <ext uri="{3e2802c4-a4d2-4d8b-9148-e3be6c30e623}">
          <xlrd:rvb i="1611"/>
        </ext>
      </extLst>
    </bk>
    <bk>
      <extLst>
        <ext uri="{3e2802c4-a4d2-4d8b-9148-e3be6c30e623}">
          <xlrd:rvb i="1612"/>
        </ext>
      </extLst>
    </bk>
    <bk>
      <extLst>
        <ext uri="{3e2802c4-a4d2-4d8b-9148-e3be6c30e623}">
          <xlrd:rvb i="1613"/>
        </ext>
      </extLst>
    </bk>
    <bk>
      <extLst>
        <ext uri="{3e2802c4-a4d2-4d8b-9148-e3be6c30e623}">
          <xlrd:rvb i="1614"/>
        </ext>
      </extLst>
    </bk>
    <bk>
      <extLst>
        <ext uri="{3e2802c4-a4d2-4d8b-9148-e3be6c30e623}">
          <xlrd:rvb i="1615"/>
        </ext>
      </extLst>
    </bk>
    <bk>
      <extLst>
        <ext uri="{3e2802c4-a4d2-4d8b-9148-e3be6c30e623}">
          <xlrd:rvb i="1616"/>
        </ext>
      </extLst>
    </bk>
    <bk>
      <extLst>
        <ext uri="{3e2802c4-a4d2-4d8b-9148-e3be6c30e623}">
          <xlrd:rvb i="1617"/>
        </ext>
      </extLst>
    </bk>
    <bk>
      <extLst>
        <ext uri="{3e2802c4-a4d2-4d8b-9148-e3be6c30e623}">
          <xlrd:rvb i="1618"/>
        </ext>
      </extLst>
    </bk>
    <bk>
      <extLst>
        <ext uri="{3e2802c4-a4d2-4d8b-9148-e3be6c30e623}">
          <xlrd:rvb i="1619"/>
        </ext>
      </extLst>
    </bk>
    <bk>
      <extLst>
        <ext uri="{3e2802c4-a4d2-4d8b-9148-e3be6c30e623}">
          <xlrd:rvb i="1620"/>
        </ext>
      </extLst>
    </bk>
    <bk>
      <extLst>
        <ext uri="{3e2802c4-a4d2-4d8b-9148-e3be6c30e623}">
          <xlrd:rvb i="1621"/>
        </ext>
      </extLst>
    </bk>
    <bk>
      <extLst>
        <ext uri="{3e2802c4-a4d2-4d8b-9148-e3be6c30e623}">
          <xlrd:rvb i="1622"/>
        </ext>
      </extLst>
    </bk>
    <bk>
      <extLst>
        <ext uri="{3e2802c4-a4d2-4d8b-9148-e3be6c30e623}">
          <xlrd:rvb i="1623"/>
        </ext>
      </extLst>
    </bk>
    <bk>
      <extLst>
        <ext uri="{3e2802c4-a4d2-4d8b-9148-e3be6c30e623}">
          <xlrd:rvb i="1624"/>
        </ext>
      </extLst>
    </bk>
    <bk>
      <extLst>
        <ext uri="{3e2802c4-a4d2-4d8b-9148-e3be6c30e623}">
          <xlrd:rvb i="1625"/>
        </ext>
      </extLst>
    </bk>
    <bk>
      <extLst>
        <ext uri="{3e2802c4-a4d2-4d8b-9148-e3be6c30e623}">
          <xlrd:rvb i="1626"/>
        </ext>
      </extLst>
    </bk>
    <bk>
      <extLst>
        <ext uri="{3e2802c4-a4d2-4d8b-9148-e3be6c30e623}">
          <xlrd:rvb i="1627"/>
        </ext>
      </extLst>
    </bk>
    <bk>
      <extLst>
        <ext uri="{3e2802c4-a4d2-4d8b-9148-e3be6c30e623}">
          <xlrd:rvb i="1628"/>
        </ext>
      </extLst>
    </bk>
    <bk>
      <extLst>
        <ext uri="{3e2802c4-a4d2-4d8b-9148-e3be6c30e623}">
          <xlrd:rvb i="1629"/>
        </ext>
      </extLst>
    </bk>
    <bk>
      <extLst>
        <ext uri="{3e2802c4-a4d2-4d8b-9148-e3be6c30e623}">
          <xlrd:rvb i="1630"/>
        </ext>
      </extLst>
    </bk>
    <bk>
      <extLst>
        <ext uri="{3e2802c4-a4d2-4d8b-9148-e3be6c30e623}">
          <xlrd:rvb i="1631"/>
        </ext>
      </extLst>
    </bk>
    <bk>
      <extLst>
        <ext uri="{3e2802c4-a4d2-4d8b-9148-e3be6c30e623}">
          <xlrd:rvb i="1632"/>
        </ext>
      </extLst>
    </bk>
    <bk>
      <extLst>
        <ext uri="{3e2802c4-a4d2-4d8b-9148-e3be6c30e623}">
          <xlrd:rvb i="1633"/>
        </ext>
      </extLst>
    </bk>
    <bk>
      <extLst>
        <ext uri="{3e2802c4-a4d2-4d8b-9148-e3be6c30e623}">
          <xlrd:rvb i="1634"/>
        </ext>
      </extLst>
    </bk>
    <bk>
      <extLst>
        <ext uri="{3e2802c4-a4d2-4d8b-9148-e3be6c30e623}">
          <xlrd:rvb i="1635"/>
        </ext>
      </extLst>
    </bk>
    <bk>
      <extLst>
        <ext uri="{3e2802c4-a4d2-4d8b-9148-e3be6c30e623}">
          <xlrd:rvb i="1636"/>
        </ext>
      </extLst>
    </bk>
    <bk>
      <extLst>
        <ext uri="{3e2802c4-a4d2-4d8b-9148-e3be6c30e623}">
          <xlrd:rvb i="1637"/>
        </ext>
      </extLst>
    </bk>
    <bk>
      <extLst>
        <ext uri="{3e2802c4-a4d2-4d8b-9148-e3be6c30e623}">
          <xlrd:rvb i="1638"/>
        </ext>
      </extLst>
    </bk>
    <bk>
      <extLst>
        <ext uri="{3e2802c4-a4d2-4d8b-9148-e3be6c30e623}">
          <xlrd:rvb i="1639"/>
        </ext>
      </extLst>
    </bk>
    <bk>
      <extLst>
        <ext uri="{3e2802c4-a4d2-4d8b-9148-e3be6c30e623}">
          <xlrd:rvb i="1640"/>
        </ext>
      </extLst>
    </bk>
    <bk>
      <extLst>
        <ext uri="{3e2802c4-a4d2-4d8b-9148-e3be6c30e623}">
          <xlrd:rvb i="1641"/>
        </ext>
      </extLst>
    </bk>
    <bk>
      <extLst>
        <ext uri="{3e2802c4-a4d2-4d8b-9148-e3be6c30e623}">
          <xlrd:rvb i="1642"/>
        </ext>
      </extLst>
    </bk>
    <bk>
      <extLst>
        <ext uri="{3e2802c4-a4d2-4d8b-9148-e3be6c30e623}">
          <xlrd:rvb i="1643"/>
        </ext>
      </extLst>
    </bk>
    <bk>
      <extLst>
        <ext uri="{3e2802c4-a4d2-4d8b-9148-e3be6c30e623}">
          <xlrd:rvb i="1644"/>
        </ext>
      </extLst>
    </bk>
    <bk>
      <extLst>
        <ext uri="{3e2802c4-a4d2-4d8b-9148-e3be6c30e623}">
          <xlrd:rvb i="1645"/>
        </ext>
      </extLst>
    </bk>
    <bk>
      <extLst>
        <ext uri="{3e2802c4-a4d2-4d8b-9148-e3be6c30e623}">
          <xlrd:rvb i="1646"/>
        </ext>
      </extLst>
    </bk>
    <bk>
      <extLst>
        <ext uri="{3e2802c4-a4d2-4d8b-9148-e3be6c30e623}">
          <xlrd:rvb i="1647"/>
        </ext>
      </extLst>
    </bk>
    <bk>
      <extLst>
        <ext uri="{3e2802c4-a4d2-4d8b-9148-e3be6c30e623}">
          <xlrd:rvb i="1648"/>
        </ext>
      </extLst>
    </bk>
    <bk>
      <extLst>
        <ext uri="{3e2802c4-a4d2-4d8b-9148-e3be6c30e623}">
          <xlrd:rvb i="1649"/>
        </ext>
      </extLst>
    </bk>
    <bk>
      <extLst>
        <ext uri="{3e2802c4-a4d2-4d8b-9148-e3be6c30e623}">
          <xlrd:rvb i="1650"/>
        </ext>
      </extLst>
    </bk>
    <bk>
      <extLst>
        <ext uri="{3e2802c4-a4d2-4d8b-9148-e3be6c30e623}">
          <xlrd:rvb i="1651"/>
        </ext>
      </extLst>
    </bk>
    <bk>
      <extLst>
        <ext uri="{3e2802c4-a4d2-4d8b-9148-e3be6c30e623}">
          <xlrd:rvb i="1652"/>
        </ext>
      </extLst>
    </bk>
    <bk>
      <extLst>
        <ext uri="{3e2802c4-a4d2-4d8b-9148-e3be6c30e623}">
          <xlrd:rvb i="1653"/>
        </ext>
      </extLst>
    </bk>
    <bk>
      <extLst>
        <ext uri="{3e2802c4-a4d2-4d8b-9148-e3be6c30e623}">
          <xlrd:rvb i="1654"/>
        </ext>
      </extLst>
    </bk>
    <bk>
      <extLst>
        <ext uri="{3e2802c4-a4d2-4d8b-9148-e3be6c30e623}">
          <xlrd:rvb i="1655"/>
        </ext>
      </extLst>
    </bk>
    <bk>
      <extLst>
        <ext uri="{3e2802c4-a4d2-4d8b-9148-e3be6c30e623}">
          <xlrd:rvb i="1656"/>
        </ext>
      </extLst>
    </bk>
    <bk>
      <extLst>
        <ext uri="{3e2802c4-a4d2-4d8b-9148-e3be6c30e623}">
          <xlrd:rvb i="1657"/>
        </ext>
      </extLst>
    </bk>
    <bk>
      <extLst>
        <ext uri="{3e2802c4-a4d2-4d8b-9148-e3be6c30e623}">
          <xlrd:rvb i="1658"/>
        </ext>
      </extLst>
    </bk>
    <bk>
      <extLst>
        <ext uri="{3e2802c4-a4d2-4d8b-9148-e3be6c30e623}">
          <xlrd:rvb i="1659"/>
        </ext>
      </extLst>
    </bk>
    <bk>
      <extLst>
        <ext uri="{3e2802c4-a4d2-4d8b-9148-e3be6c30e623}">
          <xlrd:rvb i="1660"/>
        </ext>
      </extLst>
    </bk>
    <bk>
      <extLst>
        <ext uri="{3e2802c4-a4d2-4d8b-9148-e3be6c30e623}">
          <xlrd:rvb i="1661"/>
        </ext>
      </extLst>
    </bk>
    <bk>
      <extLst>
        <ext uri="{3e2802c4-a4d2-4d8b-9148-e3be6c30e623}">
          <xlrd:rvb i="1662"/>
        </ext>
      </extLst>
    </bk>
    <bk>
      <extLst>
        <ext uri="{3e2802c4-a4d2-4d8b-9148-e3be6c30e623}">
          <xlrd:rvb i="1663"/>
        </ext>
      </extLst>
    </bk>
    <bk>
      <extLst>
        <ext uri="{3e2802c4-a4d2-4d8b-9148-e3be6c30e623}">
          <xlrd:rvb i="1664"/>
        </ext>
      </extLst>
    </bk>
    <bk>
      <extLst>
        <ext uri="{3e2802c4-a4d2-4d8b-9148-e3be6c30e623}">
          <xlrd:rvb i="1665"/>
        </ext>
      </extLst>
    </bk>
    <bk>
      <extLst>
        <ext uri="{3e2802c4-a4d2-4d8b-9148-e3be6c30e623}">
          <xlrd:rvb i="1666"/>
        </ext>
      </extLst>
    </bk>
    <bk>
      <extLst>
        <ext uri="{3e2802c4-a4d2-4d8b-9148-e3be6c30e623}">
          <xlrd:rvb i="1667"/>
        </ext>
      </extLst>
    </bk>
    <bk>
      <extLst>
        <ext uri="{3e2802c4-a4d2-4d8b-9148-e3be6c30e623}">
          <xlrd:rvb i="1668"/>
        </ext>
      </extLst>
    </bk>
    <bk>
      <extLst>
        <ext uri="{3e2802c4-a4d2-4d8b-9148-e3be6c30e623}">
          <xlrd:rvb i="1669"/>
        </ext>
      </extLst>
    </bk>
    <bk>
      <extLst>
        <ext uri="{3e2802c4-a4d2-4d8b-9148-e3be6c30e623}">
          <xlrd:rvb i="1670"/>
        </ext>
      </extLst>
    </bk>
    <bk>
      <extLst>
        <ext uri="{3e2802c4-a4d2-4d8b-9148-e3be6c30e623}">
          <xlrd:rvb i="1671"/>
        </ext>
      </extLst>
    </bk>
    <bk>
      <extLst>
        <ext uri="{3e2802c4-a4d2-4d8b-9148-e3be6c30e623}">
          <xlrd:rvb i="1672"/>
        </ext>
      </extLst>
    </bk>
    <bk>
      <extLst>
        <ext uri="{3e2802c4-a4d2-4d8b-9148-e3be6c30e623}">
          <xlrd:rvb i="1673"/>
        </ext>
      </extLst>
    </bk>
    <bk>
      <extLst>
        <ext uri="{3e2802c4-a4d2-4d8b-9148-e3be6c30e623}">
          <xlrd:rvb i="1674"/>
        </ext>
      </extLst>
    </bk>
    <bk>
      <extLst>
        <ext uri="{3e2802c4-a4d2-4d8b-9148-e3be6c30e623}">
          <xlrd:rvb i="1675"/>
        </ext>
      </extLst>
    </bk>
    <bk>
      <extLst>
        <ext uri="{3e2802c4-a4d2-4d8b-9148-e3be6c30e623}">
          <xlrd:rvb i="1676"/>
        </ext>
      </extLst>
    </bk>
    <bk>
      <extLst>
        <ext uri="{3e2802c4-a4d2-4d8b-9148-e3be6c30e623}">
          <xlrd:rvb i="1677"/>
        </ext>
      </extLst>
    </bk>
    <bk>
      <extLst>
        <ext uri="{3e2802c4-a4d2-4d8b-9148-e3be6c30e623}">
          <xlrd:rvb i="1678"/>
        </ext>
      </extLst>
    </bk>
    <bk>
      <extLst>
        <ext uri="{3e2802c4-a4d2-4d8b-9148-e3be6c30e623}">
          <xlrd:rvb i="1679"/>
        </ext>
      </extLst>
    </bk>
    <bk>
      <extLst>
        <ext uri="{3e2802c4-a4d2-4d8b-9148-e3be6c30e623}">
          <xlrd:rvb i="1680"/>
        </ext>
      </extLst>
    </bk>
    <bk>
      <extLst>
        <ext uri="{3e2802c4-a4d2-4d8b-9148-e3be6c30e623}">
          <xlrd:rvb i="1681"/>
        </ext>
      </extLst>
    </bk>
    <bk>
      <extLst>
        <ext uri="{3e2802c4-a4d2-4d8b-9148-e3be6c30e623}">
          <xlrd:rvb i="1682"/>
        </ext>
      </extLst>
    </bk>
    <bk>
      <extLst>
        <ext uri="{3e2802c4-a4d2-4d8b-9148-e3be6c30e623}">
          <xlrd:rvb i="1683"/>
        </ext>
      </extLst>
    </bk>
    <bk>
      <extLst>
        <ext uri="{3e2802c4-a4d2-4d8b-9148-e3be6c30e623}">
          <xlrd:rvb i="1684"/>
        </ext>
      </extLst>
    </bk>
    <bk>
      <extLst>
        <ext uri="{3e2802c4-a4d2-4d8b-9148-e3be6c30e623}">
          <xlrd:rvb i="1685"/>
        </ext>
      </extLst>
    </bk>
    <bk>
      <extLst>
        <ext uri="{3e2802c4-a4d2-4d8b-9148-e3be6c30e623}">
          <xlrd:rvb i="1686"/>
        </ext>
      </extLst>
    </bk>
    <bk>
      <extLst>
        <ext uri="{3e2802c4-a4d2-4d8b-9148-e3be6c30e623}">
          <xlrd:rvb i="1687"/>
        </ext>
      </extLst>
    </bk>
    <bk>
      <extLst>
        <ext uri="{3e2802c4-a4d2-4d8b-9148-e3be6c30e623}">
          <xlrd:rvb i="1688"/>
        </ext>
      </extLst>
    </bk>
    <bk>
      <extLst>
        <ext uri="{3e2802c4-a4d2-4d8b-9148-e3be6c30e623}">
          <xlrd:rvb i="1689"/>
        </ext>
      </extLst>
    </bk>
    <bk>
      <extLst>
        <ext uri="{3e2802c4-a4d2-4d8b-9148-e3be6c30e623}">
          <xlrd:rvb i="1690"/>
        </ext>
      </extLst>
    </bk>
    <bk>
      <extLst>
        <ext uri="{3e2802c4-a4d2-4d8b-9148-e3be6c30e623}">
          <xlrd:rvb i="1691"/>
        </ext>
      </extLst>
    </bk>
    <bk>
      <extLst>
        <ext uri="{3e2802c4-a4d2-4d8b-9148-e3be6c30e623}">
          <xlrd:rvb i="1692"/>
        </ext>
      </extLst>
    </bk>
    <bk>
      <extLst>
        <ext uri="{3e2802c4-a4d2-4d8b-9148-e3be6c30e623}">
          <xlrd:rvb i="1693"/>
        </ext>
      </extLst>
    </bk>
    <bk>
      <extLst>
        <ext uri="{3e2802c4-a4d2-4d8b-9148-e3be6c30e623}">
          <xlrd:rvb i="1694"/>
        </ext>
      </extLst>
    </bk>
    <bk>
      <extLst>
        <ext uri="{3e2802c4-a4d2-4d8b-9148-e3be6c30e623}">
          <xlrd:rvb i="1695"/>
        </ext>
      </extLst>
    </bk>
    <bk>
      <extLst>
        <ext uri="{3e2802c4-a4d2-4d8b-9148-e3be6c30e623}">
          <xlrd:rvb i="1696"/>
        </ext>
      </extLst>
    </bk>
    <bk>
      <extLst>
        <ext uri="{3e2802c4-a4d2-4d8b-9148-e3be6c30e623}">
          <xlrd:rvb i="1697"/>
        </ext>
      </extLst>
    </bk>
    <bk>
      <extLst>
        <ext uri="{3e2802c4-a4d2-4d8b-9148-e3be6c30e623}">
          <xlrd:rvb i="1698"/>
        </ext>
      </extLst>
    </bk>
    <bk>
      <extLst>
        <ext uri="{3e2802c4-a4d2-4d8b-9148-e3be6c30e623}">
          <xlrd:rvb i="1699"/>
        </ext>
      </extLst>
    </bk>
    <bk>
      <extLst>
        <ext uri="{3e2802c4-a4d2-4d8b-9148-e3be6c30e623}">
          <xlrd:rvb i="1700"/>
        </ext>
      </extLst>
    </bk>
    <bk>
      <extLst>
        <ext uri="{3e2802c4-a4d2-4d8b-9148-e3be6c30e623}">
          <xlrd:rvb i="1701"/>
        </ext>
      </extLst>
    </bk>
    <bk>
      <extLst>
        <ext uri="{3e2802c4-a4d2-4d8b-9148-e3be6c30e623}">
          <xlrd:rvb i="1702"/>
        </ext>
      </extLst>
    </bk>
    <bk>
      <extLst>
        <ext uri="{3e2802c4-a4d2-4d8b-9148-e3be6c30e623}">
          <xlrd:rvb i="1703"/>
        </ext>
      </extLst>
    </bk>
    <bk>
      <extLst>
        <ext uri="{3e2802c4-a4d2-4d8b-9148-e3be6c30e623}">
          <xlrd:rvb i="1704"/>
        </ext>
      </extLst>
    </bk>
    <bk>
      <extLst>
        <ext uri="{3e2802c4-a4d2-4d8b-9148-e3be6c30e623}">
          <xlrd:rvb i="1705"/>
        </ext>
      </extLst>
    </bk>
    <bk>
      <extLst>
        <ext uri="{3e2802c4-a4d2-4d8b-9148-e3be6c30e623}">
          <xlrd:rvb i="1706"/>
        </ext>
      </extLst>
    </bk>
    <bk>
      <extLst>
        <ext uri="{3e2802c4-a4d2-4d8b-9148-e3be6c30e623}">
          <xlrd:rvb i="1707"/>
        </ext>
      </extLst>
    </bk>
    <bk>
      <extLst>
        <ext uri="{3e2802c4-a4d2-4d8b-9148-e3be6c30e623}">
          <xlrd:rvb i="1708"/>
        </ext>
      </extLst>
    </bk>
    <bk>
      <extLst>
        <ext uri="{3e2802c4-a4d2-4d8b-9148-e3be6c30e623}">
          <xlrd:rvb i="1709"/>
        </ext>
      </extLst>
    </bk>
    <bk>
      <extLst>
        <ext uri="{3e2802c4-a4d2-4d8b-9148-e3be6c30e623}">
          <xlrd:rvb i="1710"/>
        </ext>
      </extLst>
    </bk>
    <bk>
      <extLst>
        <ext uri="{3e2802c4-a4d2-4d8b-9148-e3be6c30e623}">
          <xlrd:rvb i="1711"/>
        </ext>
      </extLst>
    </bk>
    <bk>
      <extLst>
        <ext uri="{3e2802c4-a4d2-4d8b-9148-e3be6c30e623}">
          <xlrd:rvb i="1712"/>
        </ext>
      </extLst>
    </bk>
    <bk>
      <extLst>
        <ext uri="{3e2802c4-a4d2-4d8b-9148-e3be6c30e623}">
          <xlrd:rvb i="1713"/>
        </ext>
      </extLst>
    </bk>
    <bk>
      <extLst>
        <ext uri="{3e2802c4-a4d2-4d8b-9148-e3be6c30e623}">
          <xlrd:rvb i="1714"/>
        </ext>
      </extLst>
    </bk>
    <bk>
      <extLst>
        <ext uri="{3e2802c4-a4d2-4d8b-9148-e3be6c30e623}">
          <xlrd:rvb i="1715"/>
        </ext>
      </extLst>
    </bk>
    <bk>
      <extLst>
        <ext uri="{3e2802c4-a4d2-4d8b-9148-e3be6c30e623}">
          <xlrd:rvb i="1716"/>
        </ext>
      </extLst>
    </bk>
    <bk>
      <extLst>
        <ext uri="{3e2802c4-a4d2-4d8b-9148-e3be6c30e623}">
          <xlrd:rvb i="1717"/>
        </ext>
      </extLst>
    </bk>
    <bk>
      <extLst>
        <ext uri="{3e2802c4-a4d2-4d8b-9148-e3be6c30e623}">
          <xlrd:rvb i="1718"/>
        </ext>
      </extLst>
    </bk>
    <bk>
      <extLst>
        <ext uri="{3e2802c4-a4d2-4d8b-9148-e3be6c30e623}">
          <xlrd:rvb i="1719"/>
        </ext>
      </extLst>
    </bk>
    <bk>
      <extLst>
        <ext uri="{3e2802c4-a4d2-4d8b-9148-e3be6c30e623}">
          <xlrd:rvb i="1720"/>
        </ext>
      </extLst>
    </bk>
    <bk>
      <extLst>
        <ext uri="{3e2802c4-a4d2-4d8b-9148-e3be6c30e623}">
          <xlrd:rvb i="1721"/>
        </ext>
      </extLst>
    </bk>
    <bk>
      <extLst>
        <ext uri="{3e2802c4-a4d2-4d8b-9148-e3be6c30e623}">
          <xlrd:rvb i="1722"/>
        </ext>
      </extLst>
    </bk>
    <bk>
      <extLst>
        <ext uri="{3e2802c4-a4d2-4d8b-9148-e3be6c30e623}">
          <xlrd:rvb i="1723"/>
        </ext>
      </extLst>
    </bk>
    <bk>
      <extLst>
        <ext uri="{3e2802c4-a4d2-4d8b-9148-e3be6c30e623}">
          <xlrd:rvb i="1724"/>
        </ext>
      </extLst>
    </bk>
    <bk>
      <extLst>
        <ext uri="{3e2802c4-a4d2-4d8b-9148-e3be6c30e623}">
          <xlrd:rvb i="1725"/>
        </ext>
      </extLst>
    </bk>
    <bk>
      <extLst>
        <ext uri="{3e2802c4-a4d2-4d8b-9148-e3be6c30e623}">
          <xlrd:rvb i="1726"/>
        </ext>
      </extLst>
    </bk>
    <bk>
      <extLst>
        <ext uri="{3e2802c4-a4d2-4d8b-9148-e3be6c30e623}">
          <xlrd:rvb i="1727"/>
        </ext>
      </extLst>
    </bk>
    <bk>
      <extLst>
        <ext uri="{3e2802c4-a4d2-4d8b-9148-e3be6c30e623}">
          <xlrd:rvb i="1728"/>
        </ext>
      </extLst>
    </bk>
    <bk>
      <extLst>
        <ext uri="{3e2802c4-a4d2-4d8b-9148-e3be6c30e623}">
          <xlrd:rvb i="1729"/>
        </ext>
      </extLst>
    </bk>
    <bk>
      <extLst>
        <ext uri="{3e2802c4-a4d2-4d8b-9148-e3be6c30e623}">
          <xlrd:rvb i="1730"/>
        </ext>
      </extLst>
    </bk>
    <bk>
      <extLst>
        <ext uri="{3e2802c4-a4d2-4d8b-9148-e3be6c30e623}">
          <xlrd:rvb i="1731"/>
        </ext>
      </extLst>
    </bk>
    <bk>
      <extLst>
        <ext uri="{3e2802c4-a4d2-4d8b-9148-e3be6c30e623}">
          <xlrd:rvb i="1732"/>
        </ext>
      </extLst>
    </bk>
    <bk>
      <extLst>
        <ext uri="{3e2802c4-a4d2-4d8b-9148-e3be6c30e623}">
          <xlrd:rvb i="1733"/>
        </ext>
      </extLst>
    </bk>
    <bk>
      <extLst>
        <ext uri="{3e2802c4-a4d2-4d8b-9148-e3be6c30e623}">
          <xlrd:rvb i="1734"/>
        </ext>
      </extLst>
    </bk>
    <bk>
      <extLst>
        <ext uri="{3e2802c4-a4d2-4d8b-9148-e3be6c30e623}">
          <xlrd:rvb i="1735"/>
        </ext>
      </extLst>
    </bk>
    <bk>
      <extLst>
        <ext uri="{3e2802c4-a4d2-4d8b-9148-e3be6c30e623}">
          <xlrd:rvb i="1736"/>
        </ext>
      </extLst>
    </bk>
    <bk>
      <extLst>
        <ext uri="{3e2802c4-a4d2-4d8b-9148-e3be6c30e623}">
          <xlrd:rvb i="1737"/>
        </ext>
      </extLst>
    </bk>
    <bk>
      <extLst>
        <ext uri="{3e2802c4-a4d2-4d8b-9148-e3be6c30e623}">
          <xlrd:rvb i="1738"/>
        </ext>
      </extLst>
    </bk>
    <bk>
      <extLst>
        <ext uri="{3e2802c4-a4d2-4d8b-9148-e3be6c30e623}">
          <xlrd:rvb i="1739"/>
        </ext>
      </extLst>
    </bk>
    <bk>
      <extLst>
        <ext uri="{3e2802c4-a4d2-4d8b-9148-e3be6c30e623}">
          <xlrd:rvb i="1740"/>
        </ext>
      </extLst>
    </bk>
    <bk>
      <extLst>
        <ext uri="{3e2802c4-a4d2-4d8b-9148-e3be6c30e623}">
          <xlrd:rvb i="1741"/>
        </ext>
      </extLst>
    </bk>
    <bk>
      <extLst>
        <ext uri="{3e2802c4-a4d2-4d8b-9148-e3be6c30e623}">
          <xlrd:rvb i="1742"/>
        </ext>
      </extLst>
    </bk>
    <bk>
      <extLst>
        <ext uri="{3e2802c4-a4d2-4d8b-9148-e3be6c30e623}">
          <xlrd:rvb i="1743"/>
        </ext>
      </extLst>
    </bk>
    <bk>
      <extLst>
        <ext uri="{3e2802c4-a4d2-4d8b-9148-e3be6c30e623}">
          <xlrd:rvb i="1744"/>
        </ext>
      </extLst>
    </bk>
    <bk>
      <extLst>
        <ext uri="{3e2802c4-a4d2-4d8b-9148-e3be6c30e623}">
          <xlrd:rvb i="1745"/>
        </ext>
      </extLst>
    </bk>
    <bk>
      <extLst>
        <ext uri="{3e2802c4-a4d2-4d8b-9148-e3be6c30e623}">
          <xlrd:rvb i="1746"/>
        </ext>
      </extLst>
    </bk>
    <bk>
      <extLst>
        <ext uri="{3e2802c4-a4d2-4d8b-9148-e3be6c30e623}">
          <xlrd:rvb i="1747"/>
        </ext>
      </extLst>
    </bk>
    <bk>
      <extLst>
        <ext uri="{3e2802c4-a4d2-4d8b-9148-e3be6c30e623}">
          <xlrd:rvb i="1748"/>
        </ext>
      </extLst>
    </bk>
    <bk>
      <extLst>
        <ext uri="{3e2802c4-a4d2-4d8b-9148-e3be6c30e623}">
          <xlrd:rvb i="1749"/>
        </ext>
      </extLst>
    </bk>
    <bk>
      <extLst>
        <ext uri="{3e2802c4-a4d2-4d8b-9148-e3be6c30e623}">
          <xlrd:rvb i="1750"/>
        </ext>
      </extLst>
    </bk>
    <bk>
      <extLst>
        <ext uri="{3e2802c4-a4d2-4d8b-9148-e3be6c30e623}">
          <xlrd:rvb i="1751"/>
        </ext>
      </extLst>
    </bk>
    <bk>
      <extLst>
        <ext uri="{3e2802c4-a4d2-4d8b-9148-e3be6c30e623}">
          <xlrd:rvb i="1752"/>
        </ext>
      </extLst>
    </bk>
    <bk>
      <extLst>
        <ext uri="{3e2802c4-a4d2-4d8b-9148-e3be6c30e623}">
          <xlrd:rvb i="1753"/>
        </ext>
      </extLst>
    </bk>
    <bk>
      <extLst>
        <ext uri="{3e2802c4-a4d2-4d8b-9148-e3be6c30e623}">
          <xlrd:rvb i="1754"/>
        </ext>
      </extLst>
    </bk>
    <bk>
      <extLst>
        <ext uri="{3e2802c4-a4d2-4d8b-9148-e3be6c30e623}">
          <xlrd:rvb i="1755"/>
        </ext>
      </extLst>
    </bk>
    <bk>
      <extLst>
        <ext uri="{3e2802c4-a4d2-4d8b-9148-e3be6c30e623}">
          <xlrd:rvb i="1756"/>
        </ext>
      </extLst>
    </bk>
    <bk>
      <extLst>
        <ext uri="{3e2802c4-a4d2-4d8b-9148-e3be6c30e623}">
          <xlrd:rvb i="1757"/>
        </ext>
      </extLst>
    </bk>
    <bk>
      <extLst>
        <ext uri="{3e2802c4-a4d2-4d8b-9148-e3be6c30e623}">
          <xlrd:rvb i="1758"/>
        </ext>
      </extLst>
    </bk>
    <bk>
      <extLst>
        <ext uri="{3e2802c4-a4d2-4d8b-9148-e3be6c30e623}">
          <xlrd:rvb i="1759"/>
        </ext>
      </extLst>
    </bk>
    <bk>
      <extLst>
        <ext uri="{3e2802c4-a4d2-4d8b-9148-e3be6c30e623}">
          <xlrd:rvb i="1760"/>
        </ext>
      </extLst>
    </bk>
    <bk>
      <extLst>
        <ext uri="{3e2802c4-a4d2-4d8b-9148-e3be6c30e623}">
          <xlrd:rvb i="1761"/>
        </ext>
      </extLst>
    </bk>
    <bk>
      <extLst>
        <ext uri="{3e2802c4-a4d2-4d8b-9148-e3be6c30e623}">
          <xlrd:rvb i="1762"/>
        </ext>
      </extLst>
    </bk>
    <bk>
      <extLst>
        <ext uri="{3e2802c4-a4d2-4d8b-9148-e3be6c30e623}">
          <xlrd:rvb i="1763"/>
        </ext>
      </extLst>
    </bk>
    <bk>
      <extLst>
        <ext uri="{3e2802c4-a4d2-4d8b-9148-e3be6c30e623}">
          <xlrd:rvb i="1764"/>
        </ext>
      </extLst>
    </bk>
    <bk>
      <extLst>
        <ext uri="{3e2802c4-a4d2-4d8b-9148-e3be6c30e623}">
          <xlrd:rvb i="1765"/>
        </ext>
      </extLst>
    </bk>
    <bk>
      <extLst>
        <ext uri="{3e2802c4-a4d2-4d8b-9148-e3be6c30e623}">
          <xlrd:rvb i="1766"/>
        </ext>
      </extLst>
    </bk>
    <bk>
      <extLst>
        <ext uri="{3e2802c4-a4d2-4d8b-9148-e3be6c30e623}">
          <xlrd:rvb i="1767"/>
        </ext>
      </extLst>
    </bk>
    <bk>
      <extLst>
        <ext uri="{3e2802c4-a4d2-4d8b-9148-e3be6c30e623}">
          <xlrd:rvb i="1768"/>
        </ext>
      </extLst>
    </bk>
    <bk>
      <extLst>
        <ext uri="{3e2802c4-a4d2-4d8b-9148-e3be6c30e623}">
          <xlrd:rvb i="1769"/>
        </ext>
      </extLst>
    </bk>
    <bk>
      <extLst>
        <ext uri="{3e2802c4-a4d2-4d8b-9148-e3be6c30e623}">
          <xlrd:rvb i="1770"/>
        </ext>
      </extLst>
    </bk>
    <bk>
      <extLst>
        <ext uri="{3e2802c4-a4d2-4d8b-9148-e3be6c30e623}">
          <xlrd:rvb i="1771"/>
        </ext>
      </extLst>
    </bk>
    <bk>
      <extLst>
        <ext uri="{3e2802c4-a4d2-4d8b-9148-e3be6c30e623}">
          <xlrd:rvb i="1772"/>
        </ext>
      </extLst>
    </bk>
    <bk>
      <extLst>
        <ext uri="{3e2802c4-a4d2-4d8b-9148-e3be6c30e623}">
          <xlrd:rvb i="1773"/>
        </ext>
      </extLst>
    </bk>
    <bk>
      <extLst>
        <ext uri="{3e2802c4-a4d2-4d8b-9148-e3be6c30e623}">
          <xlrd:rvb i="1774"/>
        </ext>
      </extLst>
    </bk>
    <bk>
      <extLst>
        <ext uri="{3e2802c4-a4d2-4d8b-9148-e3be6c30e623}">
          <xlrd:rvb i="1775"/>
        </ext>
      </extLst>
    </bk>
    <bk>
      <extLst>
        <ext uri="{3e2802c4-a4d2-4d8b-9148-e3be6c30e623}">
          <xlrd:rvb i="1776"/>
        </ext>
      </extLst>
    </bk>
    <bk>
      <extLst>
        <ext uri="{3e2802c4-a4d2-4d8b-9148-e3be6c30e623}">
          <xlrd:rvb i="1777"/>
        </ext>
      </extLst>
    </bk>
    <bk>
      <extLst>
        <ext uri="{3e2802c4-a4d2-4d8b-9148-e3be6c30e623}">
          <xlrd:rvb i="1778"/>
        </ext>
      </extLst>
    </bk>
    <bk>
      <extLst>
        <ext uri="{3e2802c4-a4d2-4d8b-9148-e3be6c30e623}">
          <xlrd:rvb i="1779"/>
        </ext>
      </extLst>
    </bk>
    <bk>
      <extLst>
        <ext uri="{3e2802c4-a4d2-4d8b-9148-e3be6c30e623}">
          <xlrd:rvb i="1780"/>
        </ext>
      </extLst>
    </bk>
    <bk>
      <extLst>
        <ext uri="{3e2802c4-a4d2-4d8b-9148-e3be6c30e623}">
          <xlrd:rvb i="1781"/>
        </ext>
      </extLst>
    </bk>
    <bk>
      <extLst>
        <ext uri="{3e2802c4-a4d2-4d8b-9148-e3be6c30e623}">
          <xlrd:rvb i="1782"/>
        </ext>
      </extLst>
    </bk>
    <bk>
      <extLst>
        <ext uri="{3e2802c4-a4d2-4d8b-9148-e3be6c30e623}">
          <xlrd:rvb i="1783"/>
        </ext>
      </extLst>
    </bk>
    <bk>
      <extLst>
        <ext uri="{3e2802c4-a4d2-4d8b-9148-e3be6c30e623}">
          <xlrd:rvb i="1784"/>
        </ext>
      </extLst>
    </bk>
    <bk>
      <extLst>
        <ext uri="{3e2802c4-a4d2-4d8b-9148-e3be6c30e623}">
          <xlrd:rvb i="1785"/>
        </ext>
      </extLst>
    </bk>
    <bk>
      <extLst>
        <ext uri="{3e2802c4-a4d2-4d8b-9148-e3be6c30e623}">
          <xlrd:rvb i="1786"/>
        </ext>
      </extLst>
    </bk>
    <bk>
      <extLst>
        <ext uri="{3e2802c4-a4d2-4d8b-9148-e3be6c30e623}">
          <xlrd:rvb i="1787"/>
        </ext>
      </extLst>
    </bk>
    <bk>
      <extLst>
        <ext uri="{3e2802c4-a4d2-4d8b-9148-e3be6c30e623}">
          <xlrd:rvb i="1788"/>
        </ext>
      </extLst>
    </bk>
    <bk>
      <extLst>
        <ext uri="{3e2802c4-a4d2-4d8b-9148-e3be6c30e623}">
          <xlrd:rvb i="1789"/>
        </ext>
      </extLst>
    </bk>
    <bk>
      <extLst>
        <ext uri="{3e2802c4-a4d2-4d8b-9148-e3be6c30e623}">
          <xlrd:rvb i="1790"/>
        </ext>
      </extLst>
    </bk>
    <bk>
      <extLst>
        <ext uri="{3e2802c4-a4d2-4d8b-9148-e3be6c30e623}">
          <xlrd:rvb i="1791"/>
        </ext>
      </extLst>
    </bk>
    <bk>
      <extLst>
        <ext uri="{3e2802c4-a4d2-4d8b-9148-e3be6c30e623}">
          <xlrd:rvb i="1792"/>
        </ext>
      </extLst>
    </bk>
    <bk>
      <extLst>
        <ext uri="{3e2802c4-a4d2-4d8b-9148-e3be6c30e623}">
          <xlrd:rvb i="1793"/>
        </ext>
      </extLst>
    </bk>
    <bk>
      <extLst>
        <ext uri="{3e2802c4-a4d2-4d8b-9148-e3be6c30e623}">
          <xlrd:rvb i="1794"/>
        </ext>
      </extLst>
    </bk>
    <bk>
      <extLst>
        <ext uri="{3e2802c4-a4d2-4d8b-9148-e3be6c30e623}">
          <xlrd:rvb i="1795"/>
        </ext>
      </extLst>
    </bk>
    <bk>
      <extLst>
        <ext uri="{3e2802c4-a4d2-4d8b-9148-e3be6c30e623}">
          <xlrd:rvb i="1796"/>
        </ext>
      </extLst>
    </bk>
    <bk>
      <extLst>
        <ext uri="{3e2802c4-a4d2-4d8b-9148-e3be6c30e623}">
          <xlrd:rvb i="1797"/>
        </ext>
      </extLst>
    </bk>
    <bk>
      <extLst>
        <ext uri="{3e2802c4-a4d2-4d8b-9148-e3be6c30e623}">
          <xlrd:rvb i="1798"/>
        </ext>
      </extLst>
    </bk>
    <bk>
      <extLst>
        <ext uri="{3e2802c4-a4d2-4d8b-9148-e3be6c30e623}">
          <xlrd:rvb i="1799"/>
        </ext>
      </extLst>
    </bk>
    <bk>
      <extLst>
        <ext uri="{3e2802c4-a4d2-4d8b-9148-e3be6c30e623}">
          <xlrd:rvb i="1800"/>
        </ext>
      </extLst>
    </bk>
    <bk>
      <extLst>
        <ext uri="{3e2802c4-a4d2-4d8b-9148-e3be6c30e623}">
          <xlrd:rvb i="1801"/>
        </ext>
      </extLst>
    </bk>
    <bk>
      <extLst>
        <ext uri="{3e2802c4-a4d2-4d8b-9148-e3be6c30e623}">
          <xlrd:rvb i="1802"/>
        </ext>
      </extLst>
    </bk>
    <bk>
      <extLst>
        <ext uri="{3e2802c4-a4d2-4d8b-9148-e3be6c30e623}">
          <xlrd:rvb i="1803"/>
        </ext>
      </extLst>
    </bk>
    <bk>
      <extLst>
        <ext uri="{3e2802c4-a4d2-4d8b-9148-e3be6c30e623}">
          <xlrd:rvb i="1804"/>
        </ext>
      </extLst>
    </bk>
    <bk>
      <extLst>
        <ext uri="{3e2802c4-a4d2-4d8b-9148-e3be6c30e623}">
          <xlrd:rvb i="1805"/>
        </ext>
      </extLst>
    </bk>
    <bk>
      <extLst>
        <ext uri="{3e2802c4-a4d2-4d8b-9148-e3be6c30e623}">
          <xlrd:rvb i="1806"/>
        </ext>
      </extLst>
    </bk>
    <bk>
      <extLst>
        <ext uri="{3e2802c4-a4d2-4d8b-9148-e3be6c30e623}">
          <xlrd:rvb i="1807"/>
        </ext>
      </extLst>
    </bk>
    <bk>
      <extLst>
        <ext uri="{3e2802c4-a4d2-4d8b-9148-e3be6c30e623}">
          <xlrd:rvb i="1808"/>
        </ext>
      </extLst>
    </bk>
    <bk>
      <extLst>
        <ext uri="{3e2802c4-a4d2-4d8b-9148-e3be6c30e623}">
          <xlrd:rvb i="1809"/>
        </ext>
      </extLst>
    </bk>
    <bk>
      <extLst>
        <ext uri="{3e2802c4-a4d2-4d8b-9148-e3be6c30e623}">
          <xlrd:rvb i="1810"/>
        </ext>
      </extLst>
    </bk>
    <bk>
      <extLst>
        <ext uri="{3e2802c4-a4d2-4d8b-9148-e3be6c30e623}">
          <xlrd:rvb i="1811"/>
        </ext>
      </extLst>
    </bk>
    <bk>
      <extLst>
        <ext uri="{3e2802c4-a4d2-4d8b-9148-e3be6c30e623}">
          <xlrd:rvb i="1812"/>
        </ext>
      </extLst>
    </bk>
    <bk>
      <extLst>
        <ext uri="{3e2802c4-a4d2-4d8b-9148-e3be6c30e623}">
          <xlrd:rvb i="1813"/>
        </ext>
      </extLst>
    </bk>
    <bk>
      <extLst>
        <ext uri="{3e2802c4-a4d2-4d8b-9148-e3be6c30e623}">
          <xlrd:rvb i="1814"/>
        </ext>
      </extLst>
    </bk>
    <bk>
      <extLst>
        <ext uri="{3e2802c4-a4d2-4d8b-9148-e3be6c30e623}">
          <xlrd:rvb i="1815"/>
        </ext>
      </extLst>
    </bk>
    <bk>
      <extLst>
        <ext uri="{3e2802c4-a4d2-4d8b-9148-e3be6c30e623}">
          <xlrd:rvb i="1816"/>
        </ext>
      </extLst>
    </bk>
    <bk>
      <extLst>
        <ext uri="{3e2802c4-a4d2-4d8b-9148-e3be6c30e623}">
          <xlrd:rvb i="1817"/>
        </ext>
      </extLst>
    </bk>
    <bk>
      <extLst>
        <ext uri="{3e2802c4-a4d2-4d8b-9148-e3be6c30e623}">
          <xlrd:rvb i="1818"/>
        </ext>
      </extLst>
    </bk>
    <bk>
      <extLst>
        <ext uri="{3e2802c4-a4d2-4d8b-9148-e3be6c30e623}">
          <xlrd:rvb i="1819"/>
        </ext>
      </extLst>
    </bk>
    <bk>
      <extLst>
        <ext uri="{3e2802c4-a4d2-4d8b-9148-e3be6c30e623}">
          <xlrd:rvb i="1820"/>
        </ext>
      </extLst>
    </bk>
    <bk>
      <extLst>
        <ext uri="{3e2802c4-a4d2-4d8b-9148-e3be6c30e623}">
          <xlrd:rvb i="1821"/>
        </ext>
      </extLst>
    </bk>
    <bk>
      <extLst>
        <ext uri="{3e2802c4-a4d2-4d8b-9148-e3be6c30e623}">
          <xlrd:rvb i="1822"/>
        </ext>
      </extLst>
    </bk>
    <bk>
      <extLst>
        <ext uri="{3e2802c4-a4d2-4d8b-9148-e3be6c30e623}">
          <xlrd:rvb i="1823"/>
        </ext>
      </extLst>
    </bk>
    <bk>
      <extLst>
        <ext uri="{3e2802c4-a4d2-4d8b-9148-e3be6c30e623}">
          <xlrd:rvb i="1824"/>
        </ext>
      </extLst>
    </bk>
    <bk>
      <extLst>
        <ext uri="{3e2802c4-a4d2-4d8b-9148-e3be6c30e623}">
          <xlrd:rvb i="1825"/>
        </ext>
      </extLst>
    </bk>
    <bk>
      <extLst>
        <ext uri="{3e2802c4-a4d2-4d8b-9148-e3be6c30e623}">
          <xlrd:rvb i="1826"/>
        </ext>
      </extLst>
    </bk>
    <bk>
      <extLst>
        <ext uri="{3e2802c4-a4d2-4d8b-9148-e3be6c30e623}">
          <xlrd:rvb i="1827"/>
        </ext>
      </extLst>
    </bk>
    <bk>
      <extLst>
        <ext uri="{3e2802c4-a4d2-4d8b-9148-e3be6c30e623}">
          <xlrd:rvb i="1828"/>
        </ext>
      </extLst>
    </bk>
    <bk>
      <extLst>
        <ext uri="{3e2802c4-a4d2-4d8b-9148-e3be6c30e623}">
          <xlrd:rvb i="1829"/>
        </ext>
      </extLst>
    </bk>
    <bk>
      <extLst>
        <ext uri="{3e2802c4-a4d2-4d8b-9148-e3be6c30e623}">
          <xlrd:rvb i="1830"/>
        </ext>
      </extLst>
    </bk>
    <bk>
      <extLst>
        <ext uri="{3e2802c4-a4d2-4d8b-9148-e3be6c30e623}">
          <xlrd:rvb i="1831"/>
        </ext>
      </extLst>
    </bk>
    <bk>
      <extLst>
        <ext uri="{3e2802c4-a4d2-4d8b-9148-e3be6c30e623}">
          <xlrd:rvb i="1832"/>
        </ext>
      </extLst>
    </bk>
    <bk>
      <extLst>
        <ext uri="{3e2802c4-a4d2-4d8b-9148-e3be6c30e623}">
          <xlrd:rvb i="1833"/>
        </ext>
      </extLst>
    </bk>
    <bk>
      <extLst>
        <ext uri="{3e2802c4-a4d2-4d8b-9148-e3be6c30e623}">
          <xlrd:rvb i="1834"/>
        </ext>
      </extLst>
    </bk>
    <bk>
      <extLst>
        <ext uri="{3e2802c4-a4d2-4d8b-9148-e3be6c30e623}">
          <xlrd:rvb i="1835"/>
        </ext>
      </extLst>
    </bk>
    <bk>
      <extLst>
        <ext uri="{3e2802c4-a4d2-4d8b-9148-e3be6c30e623}">
          <xlrd:rvb i="1836"/>
        </ext>
      </extLst>
    </bk>
    <bk>
      <extLst>
        <ext uri="{3e2802c4-a4d2-4d8b-9148-e3be6c30e623}">
          <xlrd:rvb i="1837"/>
        </ext>
      </extLst>
    </bk>
    <bk>
      <extLst>
        <ext uri="{3e2802c4-a4d2-4d8b-9148-e3be6c30e623}">
          <xlrd:rvb i="1838"/>
        </ext>
      </extLst>
    </bk>
    <bk>
      <extLst>
        <ext uri="{3e2802c4-a4d2-4d8b-9148-e3be6c30e623}">
          <xlrd:rvb i="1839"/>
        </ext>
      </extLst>
    </bk>
    <bk>
      <extLst>
        <ext uri="{3e2802c4-a4d2-4d8b-9148-e3be6c30e623}">
          <xlrd:rvb i="1840"/>
        </ext>
      </extLst>
    </bk>
    <bk>
      <extLst>
        <ext uri="{3e2802c4-a4d2-4d8b-9148-e3be6c30e623}">
          <xlrd:rvb i="1841"/>
        </ext>
      </extLst>
    </bk>
    <bk>
      <extLst>
        <ext uri="{3e2802c4-a4d2-4d8b-9148-e3be6c30e623}">
          <xlrd:rvb i="1842"/>
        </ext>
      </extLst>
    </bk>
    <bk>
      <extLst>
        <ext uri="{3e2802c4-a4d2-4d8b-9148-e3be6c30e623}">
          <xlrd:rvb i="1843"/>
        </ext>
      </extLst>
    </bk>
    <bk>
      <extLst>
        <ext uri="{3e2802c4-a4d2-4d8b-9148-e3be6c30e623}">
          <xlrd:rvb i="1844"/>
        </ext>
      </extLst>
    </bk>
    <bk>
      <extLst>
        <ext uri="{3e2802c4-a4d2-4d8b-9148-e3be6c30e623}">
          <xlrd:rvb i="1845"/>
        </ext>
      </extLst>
    </bk>
    <bk>
      <extLst>
        <ext uri="{3e2802c4-a4d2-4d8b-9148-e3be6c30e623}">
          <xlrd:rvb i="1846"/>
        </ext>
      </extLst>
    </bk>
    <bk>
      <extLst>
        <ext uri="{3e2802c4-a4d2-4d8b-9148-e3be6c30e623}">
          <xlrd:rvb i="1847"/>
        </ext>
      </extLst>
    </bk>
    <bk>
      <extLst>
        <ext uri="{3e2802c4-a4d2-4d8b-9148-e3be6c30e623}">
          <xlrd:rvb i="1848"/>
        </ext>
      </extLst>
    </bk>
    <bk>
      <extLst>
        <ext uri="{3e2802c4-a4d2-4d8b-9148-e3be6c30e623}">
          <xlrd:rvb i="1849"/>
        </ext>
      </extLst>
    </bk>
    <bk>
      <extLst>
        <ext uri="{3e2802c4-a4d2-4d8b-9148-e3be6c30e623}">
          <xlrd:rvb i="1850"/>
        </ext>
      </extLst>
    </bk>
  </futureMetadata>
  <cellMetadata count="1">
    <bk>
      <rc t="1" v="0"/>
    </bk>
  </cellMetadata>
  <valueMetadata count="1851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  <bk>
      <rc t="2" v="250"/>
    </bk>
    <bk>
      <rc t="2" v="251"/>
    </bk>
    <bk>
      <rc t="2" v="252"/>
    </bk>
    <bk>
      <rc t="2" v="253"/>
    </bk>
    <bk>
      <rc t="2" v="254"/>
    </bk>
    <bk>
      <rc t="2" v="255"/>
    </bk>
    <bk>
      <rc t="2" v="256"/>
    </bk>
    <bk>
      <rc t="2" v="257"/>
    </bk>
    <bk>
      <rc t="2" v="258"/>
    </bk>
    <bk>
      <rc t="2" v="259"/>
    </bk>
    <bk>
      <rc t="2" v="260"/>
    </bk>
    <bk>
      <rc t="2" v="261"/>
    </bk>
    <bk>
      <rc t="2" v="262"/>
    </bk>
    <bk>
      <rc t="2" v="263"/>
    </bk>
    <bk>
      <rc t="2" v="264"/>
    </bk>
    <bk>
      <rc t="2" v="265"/>
    </bk>
    <bk>
      <rc t="2" v="266"/>
    </bk>
    <bk>
      <rc t="2" v="267"/>
    </bk>
    <bk>
      <rc t="2" v="268"/>
    </bk>
    <bk>
      <rc t="2" v="269"/>
    </bk>
    <bk>
      <rc t="2" v="270"/>
    </bk>
    <bk>
      <rc t="2" v="271"/>
    </bk>
    <bk>
      <rc t="2" v="272"/>
    </bk>
    <bk>
      <rc t="2" v="273"/>
    </bk>
    <bk>
      <rc t="2" v="274"/>
    </bk>
    <bk>
      <rc t="2" v="275"/>
    </bk>
    <bk>
      <rc t="2" v="276"/>
    </bk>
    <bk>
      <rc t="2" v="277"/>
    </bk>
    <bk>
      <rc t="2" v="278"/>
    </bk>
    <bk>
      <rc t="2" v="279"/>
    </bk>
    <bk>
      <rc t="2" v="280"/>
    </bk>
    <bk>
      <rc t="2" v="281"/>
    </bk>
    <bk>
      <rc t="2" v="282"/>
    </bk>
    <bk>
      <rc t="2" v="283"/>
    </bk>
    <bk>
      <rc t="2" v="284"/>
    </bk>
    <bk>
      <rc t="2" v="285"/>
    </bk>
    <bk>
      <rc t="2" v="286"/>
    </bk>
    <bk>
      <rc t="2" v="287"/>
    </bk>
    <bk>
      <rc t="2" v="288"/>
    </bk>
    <bk>
      <rc t="2" v="289"/>
    </bk>
    <bk>
      <rc t="2" v="290"/>
    </bk>
    <bk>
      <rc t="2" v="291"/>
    </bk>
    <bk>
      <rc t="2" v="292"/>
    </bk>
    <bk>
      <rc t="2" v="293"/>
    </bk>
    <bk>
      <rc t="2" v="294"/>
    </bk>
    <bk>
      <rc t="2" v="295"/>
    </bk>
    <bk>
      <rc t="2" v="296"/>
    </bk>
    <bk>
      <rc t="2" v="297"/>
    </bk>
    <bk>
      <rc t="2" v="298"/>
    </bk>
    <bk>
      <rc t="2" v="299"/>
    </bk>
    <bk>
      <rc t="2" v="300"/>
    </bk>
    <bk>
      <rc t="2" v="301"/>
    </bk>
    <bk>
      <rc t="2" v="302"/>
    </bk>
    <bk>
      <rc t="2" v="303"/>
    </bk>
    <bk>
      <rc t="2" v="304"/>
    </bk>
    <bk>
      <rc t="2" v="305"/>
    </bk>
    <bk>
      <rc t="2" v="306"/>
    </bk>
    <bk>
      <rc t="2" v="307"/>
    </bk>
    <bk>
      <rc t="2" v="308"/>
    </bk>
    <bk>
      <rc t="2" v="309"/>
    </bk>
    <bk>
      <rc t="2" v="310"/>
    </bk>
    <bk>
      <rc t="2" v="311"/>
    </bk>
    <bk>
      <rc t="2" v="312"/>
    </bk>
    <bk>
      <rc t="2" v="313"/>
    </bk>
    <bk>
      <rc t="2" v="314"/>
    </bk>
    <bk>
      <rc t="2" v="315"/>
    </bk>
    <bk>
      <rc t="2" v="316"/>
    </bk>
    <bk>
      <rc t="2" v="317"/>
    </bk>
    <bk>
      <rc t="2" v="318"/>
    </bk>
    <bk>
      <rc t="2" v="319"/>
    </bk>
    <bk>
      <rc t="2" v="320"/>
    </bk>
    <bk>
      <rc t="2" v="321"/>
    </bk>
    <bk>
      <rc t="2" v="322"/>
    </bk>
    <bk>
      <rc t="2" v="323"/>
    </bk>
    <bk>
      <rc t="2" v="324"/>
    </bk>
    <bk>
      <rc t="2" v="325"/>
    </bk>
    <bk>
      <rc t="2" v="326"/>
    </bk>
    <bk>
      <rc t="2" v="327"/>
    </bk>
    <bk>
      <rc t="2" v="328"/>
    </bk>
    <bk>
      <rc t="2" v="329"/>
    </bk>
    <bk>
      <rc t="2" v="330"/>
    </bk>
    <bk>
      <rc t="2" v="331"/>
    </bk>
    <bk>
      <rc t="2" v="332"/>
    </bk>
    <bk>
      <rc t="2" v="333"/>
    </bk>
    <bk>
      <rc t="2" v="334"/>
    </bk>
    <bk>
      <rc t="2" v="335"/>
    </bk>
    <bk>
      <rc t="2" v="336"/>
    </bk>
    <bk>
      <rc t="2" v="337"/>
    </bk>
    <bk>
      <rc t="2" v="338"/>
    </bk>
    <bk>
      <rc t="2" v="339"/>
    </bk>
    <bk>
      <rc t="2" v="340"/>
    </bk>
    <bk>
      <rc t="2" v="341"/>
    </bk>
    <bk>
      <rc t="2" v="342"/>
    </bk>
    <bk>
      <rc t="2" v="343"/>
    </bk>
    <bk>
      <rc t="2" v="344"/>
    </bk>
    <bk>
      <rc t="2" v="345"/>
    </bk>
    <bk>
      <rc t="2" v="346"/>
    </bk>
    <bk>
      <rc t="2" v="347"/>
    </bk>
    <bk>
      <rc t="2" v="348"/>
    </bk>
    <bk>
      <rc t="2" v="349"/>
    </bk>
    <bk>
      <rc t="2" v="350"/>
    </bk>
    <bk>
      <rc t="2" v="351"/>
    </bk>
    <bk>
      <rc t="2" v="352"/>
    </bk>
    <bk>
      <rc t="2" v="353"/>
    </bk>
    <bk>
      <rc t="2" v="354"/>
    </bk>
    <bk>
      <rc t="2" v="355"/>
    </bk>
    <bk>
      <rc t="2" v="356"/>
    </bk>
    <bk>
      <rc t="2" v="357"/>
    </bk>
    <bk>
      <rc t="2" v="358"/>
    </bk>
    <bk>
      <rc t="2" v="359"/>
    </bk>
    <bk>
      <rc t="2" v="360"/>
    </bk>
    <bk>
      <rc t="2" v="361"/>
    </bk>
    <bk>
      <rc t="2" v="362"/>
    </bk>
    <bk>
      <rc t="2" v="363"/>
    </bk>
    <bk>
      <rc t="2" v="364"/>
    </bk>
    <bk>
      <rc t="2" v="365"/>
    </bk>
    <bk>
      <rc t="2" v="366"/>
    </bk>
    <bk>
      <rc t="2" v="367"/>
    </bk>
    <bk>
      <rc t="2" v="368"/>
    </bk>
    <bk>
      <rc t="2" v="369"/>
    </bk>
    <bk>
      <rc t="2" v="370"/>
    </bk>
    <bk>
      <rc t="2" v="371"/>
    </bk>
    <bk>
      <rc t="2" v="372"/>
    </bk>
    <bk>
      <rc t="2" v="373"/>
    </bk>
    <bk>
      <rc t="2" v="374"/>
    </bk>
    <bk>
      <rc t="2" v="375"/>
    </bk>
    <bk>
      <rc t="2" v="376"/>
    </bk>
    <bk>
      <rc t="2" v="377"/>
    </bk>
    <bk>
      <rc t="2" v="378"/>
    </bk>
    <bk>
      <rc t="2" v="379"/>
    </bk>
    <bk>
      <rc t="2" v="380"/>
    </bk>
    <bk>
      <rc t="2" v="381"/>
    </bk>
    <bk>
      <rc t="2" v="382"/>
    </bk>
    <bk>
      <rc t="2" v="383"/>
    </bk>
    <bk>
      <rc t="2" v="384"/>
    </bk>
    <bk>
      <rc t="2" v="385"/>
    </bk>
    <bk>
      <rc t="2" v="386"/>
    </bk>
    <bk>
      <rc t="2" v="387"/>
    </bk>
    <bk>
      <rc t="2" v="388"/>
    </bk>
    <bk>
      <rc t="2" v="389"/>
    </bk>
    <bk>
      <rc t="2" v="390"/>
    </bk>
    <bk>
      <rc t="2" v="391"/>
    </bk>
    <bk>
      <rc t="2" v="392"/>
    </bk>
    <bk>
      <rc t="2" v="393"/>
    </bk>
    <bk>
      <rc t="2" v="394"/>
    </bk>
    <bk>
      <rc t="2" v="395"/>
    </bk>
    <bk>
      <rc t="2" v="396"/>
    </bk>
    <bk>
      <rc t="2" v="397"/>
    </bk>
    <bk>
      <rc t="2" v="398"/>
    </bk>
    <bk>
      <rc t="2" v="399"/>
    </bk>
    <bk>
      <rc t="2" v="400"/>
    </bk>
    <bk>
      <rc t="2" v="401"/>
    </bk>
    <bk>
      <rc t="2" v="402"/>
    </bk>
    <bk>
      <rc t="2" v="403"/>
    </bk>
    <bk>
      <rc t="2" v="404"/>
    </bk>
    <bk>
      <rc t="2" v="405"/>
    </bk>
    <bk>
      <rc t="2" v="406"/>
    </bk>
    <bk>
      <rc t="2" v="407"/>
    </bk>
    <bk>
      <rc t="2" v="408"/>
    </bk>
    <bk>
      <rc t="2" v="409"/>
    </bk>
    <bk>
      <rc t="2" v="410"/>
    </bk>
    <bk>
      <rc t="2" v="411"/>
    </bk>
    <bk>
      <rc t="2" v="412"/>
    </bk>
    <bk>
      <rc t="2" v="413"/>
    </bk>
    <bk>
      <rc t="2" v="414"/>
    </bk>
    <bk>
      <rc t="2" v="415"/>
    </bk>
    <bk>
      <rc t="2" v="416"/>
    </bk>
    <bk>
      <rc t="2" v="417"/>
    </bk>
    <bk>
      <rc t="2" v="418"/>
    </bk>
    <bk>
      <rc t="2" v="419"/>
    </bk>
    <bk>
      <rc t="2" v="420"/>
    </bk>
    <bk>
      <rc t="2" v="421"/>
    </bk>
    <bk>
      <rc t="2" v="422"/>
    </bk>
    <bk>
      <rc t="2" v="423"/>
    </bk>
    <bk>
      <rc t="2" v="424"/>
    </bk>
    <bk>
      <rc t="2" v="425"/>
    </bk>
    <bk>
      <rc t="2" v="426"/>
    </bk>
    <bk>
      <rc t="2" v="427"/>
    </bk>
    <bk>
      <rc t="2" v="428"/>
    </bk>
    <bk>
      <rc t="2" v="429"/>
    </bk>
    <bk>
      <rc t="2" v="430"/>
    </bk>
    <bk>
      <rc t="2" v="431"/>
    </bk>
    <bk>
      <rc t="2" v="432"/>
    </bk>
    <bk>
      <rc t="2" v="433"/>
    </bk>
    <bk>
      <rc t="2" v="434"/>
    </bk>
    <bk>
      <rc t="2" v="435"/>
    </bk>
    <bk>
      <rc t="2" v="436"/>
    </bk>
    <bk>
      <rc t="2" v="437"/>
    </bk>
    <bk>
      <rc t="2" v="438"/>
    </bk>
    <bk>
      <rc t="2" v="439"/>
    </bk>
    <bk>
      <rc t="2" v="440"/>
    </bk>
    <bk>
      <rc t="2" v="441"/>
    </bk>
    <bk>
      <rc t="2" v="442"/>
    </bk>
    <bk>
      <rc t="2" v="443"/>
    </bk>
    <bk>
      <rc t="2" v="444"/>
    </bk>
    <bk>
      <rc t="2" v="445"/>
    </bk>
    <bk>
      <rc t="2" v="446"/>
    </bk>
    <bk>
      <rc t="2" v="447"/>
    </bk>
    <bk>
      <rc t="2" v="448"/>
    </bk>
    <bk>
      <rc t="2" v="449"/>
    </bk>
    <bk>
      <rc t="2" v="450"/>
    </bk>
    <bk>
      <rc t="2" v="451"/>
    </bk>
    <bk>
      <rc t="2" v="452"/>
    </bk>
    <bk>
      <rc t="2" v="453"/>
    </bk>
    <bk>
      <rc t="2" v="454"/>
    </bk>
    <bk>
      <rc t="2" v="455"/>
    </bk>
    <bk>
      <rc t="2" v="456"/>
    </bk>
    <bk>
      <rc t="2" v="457"/>
    </bk>
    <bk>
      <rc t="2" v="458"/>
    </bk>
    <bk>
      <rc t="2" v="459"/>
    </bk>
    <bk>
      <rc t="2" v="460"/>
    </bk>
    <bk>
      <rc t="2" v="461"/>
    </bk>
    <bk>
      <rc t="2" v="462"/>
    </bk>
    <bk>
      <rc t="2" v="463"/>
    </bk>
    <bk>
      <rc t="2" v="464"/>
    </bk>
    <bk>
      <rc t="2" v="465"/>
    </bk>
    <bk>
      <rc t="2" v="466"/>
    </bk>
    <bk>
      <rc t="2" v="467"/>
    </bk>
    <bk>
      <rc t="2" v="468"/>
    </bk>
    <bk>
      <rc t="2" v="469"/>
    </bk>
    <bk>
      <rc t="2" v="470"/>
    </bk>
    <bk>
      <rc t="2" v="471"/>
    </bk>
    <bk>
      <rc t="2" v="472"/>
    </bk>
    <bk>
      <rc t="2" v="473"/>
    </bk>
    <bk>
      <rc t="2" v="474"/>
    </bk>
    <bk>
      <rc t="2" v="475"/>
    </bk>
    <bk>
      <rc t="2" v="476"/>
    </bk>
    <bk>
      <rc t="2" v="477"/>
    </bk>
    <bk>
      <rc t="2" v="478"/>
    </bk>
    <bk>
      <rc t="2" v="479"/>
    </bk>
    <bk>
      <rc t="2" v="480"/>
    </bk>
    <bk>
      <rc t="2" v="481"/>
    </bk>
    <bk>
      <rc t="2" v="482"/>
    </bk>
    <bk>
      <rc t="2" v="483"/>
    </bk>
    <bk>
      <rc t="2" v="484"/>
    </bk>
    <bk>
      <rc t="2" v="485"/>
    </bk>
    <bk>
      <rc t="2" v="486"/>
    </bk>
    <bk>
      <rc t="2" v="487"/>
    </bk>
    <bk>
      <rc t="2" v="488"/>
    </bk>
    <bk>
      <rc t="2" v="489"/>
    </bk>
    <bk>
      <rc t="2" v="490"/>
    </bk>
    <bk>
      <rc t="2" v="491"/>
    </bk>
    <bk>
      <rc t="2" v="492"/>
    </bk>
    <bk>
      <rc t="2" v="493"/>
    </bk>
    <bk>
      <rc t="2" v="494"/>
    </bk>
    <bk>
      <rc t="2" v="495"/>
    </bk>
    <bk>
      <rc t="2" v="496"/>
    </bk>
    <bk>
      <rc t="2" v="497"/>
    </bk>
    <bk>
      <rc t="2" v="498"/>
    </bk>
    <bk>
      <rc t="2" v="499"/>
    </bk>
    <bk>
      <rc t="2" v="500"/>
    </bk>
    <bk>
      <rc t="2" v="501"/>
    </bk>
    <bk>
      <rc t="2" v="502"/>
    </bk>
    <bk>
      <rc t="2" v="503"/>
    </bk>
    <bk>
      <rc t="2" v="504"/>
    </bk>
    <bk>
      <rc t="2" v="505"/>
    </bk>
    <bk>
      <rc t="2" v="506"/>
    </bk>
    <bk>
      <rc t="2" v="507"/>
    </bk>
    <bk>
      <rc t="2" v="508"/>
    </bk>
    <bk>
      <rc t="2" v="509"/>
    </bk>
    <bk>
      <rc t="2" v="510"/>
    </bk>
    <bk>
      <rc t="2" v="511"/>
    </bk>
    <bk>
      <rc t="2" v="512"/>
    </bk>
    <bk>
      <rc t="2" v="513"/>
    </bk>
    <bk>
      <rc t="2" v="514"/>
    </bk>
    <bk>
      <rc t="2" v="515"/>
    </bk>
    <bk>
      <rc t="2" v="516"/>
    </bk>
    <bk>
      <rc t="2" v="517"/>
    </bk>
    <bk>
      <rc t="2" v="518"/>
    </bk>
    <bk>
      <rc t="2" v="519"/>
    </bk>
    <bk>
      <rc t="2" v="520"/>
    </bk>
    <bk>
      <rc t="2" v="521"/>
    </bk>
    <bk>
      <rc t="2" v="522"/>
    </bk>
    <bk>
      <rc t="2" v="523"/>
    </bk>
    <bk>
      <rc t="2" v="524"/>
    </bk>
    <bk>
      <rc t="2" v="525"/>
    </bk>
    <bk>
      <rc t="2" v="526"/>
    </bk>
    <bk>
      <rc t="2" v="527"/>
    </bk>
    <bk>
      <rc t="2" v="528"/>
    </bk>
    <bk>
      <rc t="2" v="529"/>
    </bk>
    <bk>
      <rc t="2" v="530"/>
    </bk>
    <bk>
      <rc t="2" v="531"/>
    </bk>
    <bk>
      <rc t="2" v="532"/>
    </bk>
    <bk>
      <rc t="2" v="533"/>
    </bk>
    <bk>
      <rc t="2" v="534"/>
    </bk>
    <bk>
      <rc t="2" v="535"/>
    </bk>
    <bk>
      <rc t="2" v="536"/>
    </bk>
    <bk>
      <rc t="2" v="537"/>
    </bk>
    <bk>
      <rc t="2" v="538"/>
    </bk>
    <bk>
      <rc t="2" v="539"/>
    </bk>
    <bk>
      <rc t="2" v="540"/>
    </bk>
    <bk>
      <rc t="2" v="541"/>
    </bk>
    <bk>
      <rc t="2" v="542"/>
    </bk>
    <bk>
      <rc t="2" v="543"/>
    </bk>
    <bk>
      <rc t="2" v="544"/>
    </bk>
    <bk>
      <rc t="2" v="545"/>
    </bk>
    <bk>
      <rc t="2" v="546"/>
    </bk>
    <bk>
      <rc t="2" v="547"/>
    </bk>
    <bk>
      <rc t="2" v="548"/>
    </bk>
    <bk>
      <rc t="2" v="549"/>
    </bk>
    <bk>
      <rc t="2" v="550"/>
    </bk>
    <bk>
      <rc t="2" v="551"/>
    </bk>
    <bk>
      <rc t="2" v="552"/>
    </bk>
    <bk>
      <rc t="2" v="553"/>
    </bk>
    <bk>
      <rc t="2" v="554"/>
    </bk>
    <bk>
      <rc t="2" v="555"/>
    </bk>
    <bk>
      <rc t="2" v="556"/>
    </bk>
    <bk>
      <rc t="2" v="557"/>
    </bk>
    <bk>
      <rc t="2" v="558"/>
    </bk>
    <bk>
      <rc t="2" v="559"/>
    </bk>
    <bk>
      <rc t="2" v="560"/>
    </bk>
    <bk>
      <rc t="2" v="561"/>
    </bk>
    <bk>
      <rc t="2" v="562"/>
    </bk>
    <bk>
      <rc t="2" v="563"/>
    </bk>
    <bk>
      <rc t="2" v="564"/>
    </bk>
    <bk>
      <rc t="2" v="565"/>
    </bk>
    <bk>
      <rc t="2" v="566"/>
    </bk>
    <bk>
      <rc t="2" v="567"/>
    </bk>
    <bk>
      <rc t="2" v="568"/>
    </bk>
    <bk>
      <rc t="2" v="569"/>
    </bk>
    <bk>
      <rc t="2" v="570"/>
    </bk>
    <bk>
      <rc t="2" v="571"/>
    </bk>
    <bk>
      <rc t="2" v="572"/>
    </bk>
    <bk>
      <rc t="2" v="573"/>
    </bk>
    <bk>
      <rc t="2" v="574"/>
    </bk>
    <bk>
      <rc t="2" v="575"/>
    </bk>
    <bk>
      <rc t="2" v="576"/>
    </bk>
    <bk>
      <rc t="2" v="577"/>
    </bk>
    <bk>
      <rc t="2" v="578"/>
    </bk>
    <bk>
      <rc t="2" v="579"/>
    </bk>
    <bk>
      <rc t="2" v="580"/>
    </bk>
    <bk>
      <rc t="2" v="581"/>
    </bk>
    <bk>
      <rc t="2" v="582"/>
    </bk>
    <bk>
      <rc t="2" v="583"/>
    </bk>
    <bk>
      <rc t="2" v="584"/>
    </bk>
    <bk>
      <rc t="2" v="585"/>
    </bk>
    <bk>
      <rc t="2" v="586"/>
    </bk>
    <bk>
      <rc t="2" v="587"/>
    </bk>
    <bk>
      <rc t="2" v="588"/>
    </bk>
    <bk>
      <rc t="2" v="589"/>
    </bk>
    <bk>
      <rc t="2" v="590"/>
    </bk>
    <bk>
      <rc t="2" v="591"/>
    </bk>
    <bk>
      <rc t="2" v="592"/>
    </bk>
    <bk>
      <rc t="2" v="593"/>
    </bk>
    <bk>
      <rc t="2" v="594"/>
    </bk>
    <bk>
      <rc t="2" v="595"/>
    </bk>
    <bk>
      <rc t="2" v="596"/>
    </bk>
    <bk>
      <rc t="2" v="597"/>
    </bk>
    <bk>
      <rc t="2" v="598"/>
    </bk>
    <bk>
      <rc t="2" v="599"/>
    </bk>
    <bk>
      <rc t="2" v="600"/>
    </bk>
    <bk>
      <rc t="2" v="601"/>
    </bk>
    <bk>
      <rc t="2" v="602"/>
    </bk>
    <bk>
      <rc t="2" v="603"/>
    </bk>
    <bk>
      <rc t="2" v="604"/>
    </bk>
    <bk>
      <rc t="2" v="605"/>
    </bk>
    <bk>
      <rc t="2" v="606"/>
    </bk>
    <bk>
      <rc t="2" v="607"/>
    </bk>
    <bk>
      <rc t="2" v="608"/>
    </bk>
    <bk>
      <rc t="2" v="609"/>
    </bk>
    <bk>
      <rc t="2" v="610"/>
    </bk>
    <bk>
      <rc t="2" v="611"/>
    </bk>
    <bk>
      <rc t="2" v="612"/>
    </bk>
    <bk>
      <rc t="2" v="613"/>
    </bk>
    <bk>
      <rc t="2" v="614"/>
    </bk>
    <bk>
      <rc t="2" v="615"/>
    </bk>
    <bk>
      <rc t="2" v="616"/>
    </bk>
    <bk>
      <rc t="2" v="617"/>
    </bk>
    <bk>
      <rc t="2" v="618"/>
    </bk>
    <bk>
      <rc t="2" v="619"/>
    </bk>
    <bk>
      <rc t="2" v="620"/>
    </bk>
    <bk>
      <rc t="2" v="621"/>
    </bk>
    <bk>
      <rc t="2" v="622"/>
    </bk>
    <bk>
      <rc t="2" v="623"/>
    </bk>
    <bk>
      <rc t="2" v="624"/>
    </bk>
    <bk>
      <rc t="2" v="625"/>
    </bk>
    <bk>
      <rc t="2" v="626"/>
    </bk>
    <bk>
      <rc t="2" v="627"/>
    </bk>
    <bk>
      <rc t="2" v="628"/>
    </bk>
    <bk>
      <rc t="2" v="629"/>
    </bk>
    <bk>
      <rc t="2" v="630"/>
    </bk>
    <bk>
      <rc t="2" v="631"/>
    </bk>
    <bk>
      <rc t="2" v="632"/>
    </bk>
    <bk>
      <rc t="2" v="633"/>
    </bk>
    <bk>
      <rc t="2" v="634"/>
    </bk>
    <bk>
      <rc t="2" v="635"/>
    </bk>
    <bk>
      <rc t="2" v="636"/>
    </bk>
    <bk>
      <rc t="2" v="637"/>
    </bk>
    <bk>
      <rc t="2" v="638"/>
    </bk>
    <bk>
      <rc t="2" v="639"/>
    </bk>
    <bk>
      <rc t="2" v="640"/>
    </bk>
    <bk>
      <rc t="2" v="641"/>
    </bk>
    <bk>
      <rc t="2" v="642"/>
    </bk>
    <bk>
      <rc t="2" v="643"/>
    </bk>
    <bk>
      <rc t="2" v="644"/>
    </bk>
    <bk>
      <rc t="2" v="645"/>
    </bk>
    <bk>
      <rc t="2" v="646"/>
    </bk>
    <bk>
      <rc t="2" v="647"/>
    </bk>
    <bk>
      <rc t="2" v="648"/>
    </bk>
    <bk>
      <rc t="2" v="649"/>
    </bk>
    <bk>
      <rc t="2" v="650"/>
    </bk>
    <bk>
      <rc t="2" v="651"/>
    </bk>
    <bk>
      <rc t="2" v="652"/>
    </bk>
    <bk>
      <rc t="2" v="653"/>
    </bk>
    <bk>
      <rc t="2" v="654"/>
    </bk>
    <bk>
      <rc t="2" v="655"/>
    </bk>
    <bk>
      <rc t="2" v="656"/>
    </bk>
    <bk>
      <rc t="2" v="657"/>
    </bk>
    <bk>
      <rc t="2" v="658"/>
    </bk>
    <bk>
      <rc t="2" v="659"/>
    </bk>
    <bk>
      <rc t="2" v="660"/>
    </bk>
    <bk>
      <rc t="2" v="661"/>
    </bk>
    <bk>
      <rc t="2" v="662"/>
    </bk>
    <bk>
      <rc t="2" v="663"/>
    </bk>
    <bk>
      <rc t="2" v="664"/>
    </bk>
    <bk>
      <rc t="2" v="665"/>
    </bk>
    <bk>
      <rc t="2" v="666"/>
    </bk>
    <bk>
      <rc t="2" v="667"/>
    </bk>
    <bk>
      <rc t="2" v="668"/>
    </bk>
    <bk>
      <rc t="2" v="669"/>
    </bk>
    <bk>
      <rc t="2" v="670"/>
    </bk>
    <bk>
      <rc t="2" v="671"/>
    </bk>
    <bk>
      <rc t="2" v="672"/>
    </bk>
    <bk>
      <rc t="2" v="673"/>
    </bk>
    <bk>
      <rc t="2" v="674"/>
    </bk>
    <bk>
      <rc t="2" v="675"/>
    </bk>
    <bk>
      <rc t="2" v="676"/>
    </bk>
    <bk>
      <rc t="2" v="677"/>
    </bk>
    <bk>
      <rc t="2" v="678"/>
    </bk>
    <bk>
      <rc t="2" v="679"/>
    </bk>
    <bk>
      <rc t="2" v="680"/>
    </bk>
    <bk>
      <rc t="2" v="681"/>
    </bk>
    <bk>
      <rc t="2" v="682"/>
    </bk>
    <bk>
      <rc t="2" v="683"/>
    </bk>
    <bk>
      <rc t="2" v="684"/>
    </bk>
    <bk>
      <rc t="2" v="685"/>
    </bk>
    <bk>
      <rc t="2" v="686"/>
    </bk>
    <bk>
      <rc t="2" v="687"/>
    </bk>
    <bk>
      <rc t="2" v="688"/>
    </bk>
    <bk>
      <rc t="2" v="689"/>
    </bk>
    <bk>
      <rc t="2" v="690"/>
    </bk>
    <bk>
      <rc t="2" v="691"/>
    </bk>
    <bk>
      <rc t="2" v="692"/>
    </bk>
    <bk>
      <rc t="2" v="693"/>
    </bk>
    <bk>
      <rc t="2" v="694"/>
    </bk>
    <bk>
      <rc t="2" v="695"/>
    </bk>
    <bk>
      <rc t="2" v="696"/>
    </bk>
    <bk>
      <rc t="2" v="697"/>
    </bk>
    <bk>
      <rc t="2" v="698"/>
    </bk>
    <bk>
      <rc t="2" v="699"/>
    </bk>
    <bk>
      <rc t="2" v="700"/>
    </bk>
    <bk>
      <rc t="2" v="701"/>
    </bk>
    <bk>
      <rc t="2" v="702"/>
    </bk>
    <bk>
      <rc t="2" v="703"/>
    </bk>
    <bk>
      <rc t="2" v="704"/>
    </bk>
    <bk>
      <rc t="2" v="705"/>
    </bk>
    <bk>
      <rc t="2" v="706"/>
    </bk>
    <bk>
      <rc t="2" v="707"/>
    </bk>
    <bk>
      <rc t="2" v="708"/>
    </bk>
    <bk>
      <rc t="2" v="709"/>
    </bk>
    <bk>
      <rc t="2" v="710"/>
    </bk>
    <bk>
      <rc t="2" v="711"/>
    </bk>
    <bk>
      <rc t="2" v="712"/>
    </bk>
    <bk>
      <rc t="2" v="713"/>
    </bk>
    <bk>
      <rc t="2" v="714"/>
    </bk>
    <bk>
      <rc t="2" v="715"/>
    </bk>
    <bk>
      <rc t="2" v="716"/>
    </bk>
    <bk>
      <rc t="2" v="717"/>
    </bk>
    <bk>
      <rc t="2" v="718"/>
    </bk>
    <bk>
      <rc t="2" v="719"/>
    </bk>
    <bk>
      <rc t="2" v="720"/>
    </bk>
    <bk>
      <rc t="2" v="721"/>
    </bk>
    <bk>
      <rc t="2" v="722"/>
    </bk>
    <bk>
      <rc t="2" v="723"/>
    </bk>
    <bk>
      <rc t="2" v="724"/>
    </bk>
    <bk>
      <rc t="2" v="725"/>
    </bk>
    <bk>
      <rc t="2" v="726"/>
    </bk>
    <bk>
      <rc t="2" v="727"/>
    </bk>
    <bk>
      <rc t="2" v="728"/>
    </bk>
    <bk>
      <rc t="2" v="729"/>
    </bk>
    <bk>
      <rc t="2" v="730"/>
    </bk>
    <bk>
      <rc t="2" v="731"/>
    </bk>
    <bk>
      <rc t="2" v="732"/>
    </bk>
    <bk>
      <rc t="2" v="733"/>
    </bk>
    <bk>
      <rc t="2" v="734"/>
    </bk>
    <bk>
      <rc t="2" v="735"/>
    </bk>
    <bk>
      <rc t="2" v="736"/>
    </bk>
    <bk>
      <rc t="2" v="737"/>
    </bk>
    <bk>
      <rc t="2" v="738"/>
    </bk>
    <bk>
      <rc t="2" v="739"/>
    </bk>
    <bk>
      <rc t="2" v="740"/>
    </bk>
    <bk>
      <rc t="2" v="741"/>
    </bk>
    <bk>
      <rc t="2" v="742"/>
    </bk>
    <bk>
      <rc t="2" v="743"/>
    </bk>
    <bk>
      <rc t="2" v="744"/>
    </bk>
    <bk>
      <rc t="2" v="745"/>
    </bk>
    <bk>
      <rc t="2" v="746"/>
    </bk>
    <bk>
      <rc t="2" v="747"/>
    </bk>
    <bk>
      <rc t="2" v="748"/>
    </bk>
    <bk>
      <rc t="2" v="749"/>
    </bk>
    <bk>
      <rc t="2" v="750"/>
    </bk>
    <bk>
      <rc t="2" v="751"/>
    </bk>
    <bk>
      <rc t="2" v="752"/>
    </bk>
    <bk>
      <rc t="2" v="753"/>
    </bk>
    <bk>
      <rc t="2" v="754"/>
    </bk>
    <bk>
      <rc t="2" v="755"/>
    </bk>
    <bk>
      <rc t="2" v="756"/>
    </bk>
    <bk>
      <rc t="2" v="757"/>
    </bk>
    <bk>
      <rc t="2" v="758"/>
    </bk>
    <bk>
      <rc t="2" v="759"/>
    </bk>
    <bk>
      <rc t="2" v="760"/>
    </bk>
    <bk>
      <rc t="2" v="761"/>
    </bk>
    <bk>
      <rc t="2" v="762"/>
    </bk>
    <bk>
      <rc t="2" v="763"/>
    </bk>
    <bk>
      <rc t="2" v="764"/>
    </bk>
    <bk>
      <rc t="2" v="765"/>
    </bk>
    <bk>
      <rc t="2" v="766"/>
    </bk>
    <bk>
      <rc t="2" v="767"/>
    </bk>
    <bk>
      <rc t="2" v="768"/>
    </bk>
    <bk>
      <rc t="2" v="769"/>
    </bk>
    <bk>
      <rc t="2" v="770"/>
    </bk>
    <bk>
      <rc t="2" v="771"/>
    </bk>
    <bk>
      <rc t="2" v="772"/>
    </bk>
    <bk>
      <rc t="2" v="773"/>
    </bk>
    <bk>
      <rc t="2" v="774"/>
    </bk>
    <bk>
      <rc t="2" v="775"/>
    </bk>
    <bk>
      <rc t="2" v="776"/>
    </bk>
    <bk>
      <rc t="2" v="777"/>
    </bk>
    <bk>
      <rc t="2" v="778"/>
    </bk>
    <bk>
      <rc t="2" v="779"/>
    </bk>
    <bk>
      <rc t="2" v="780"/>
    </bk>
    <bk>
      <rc t="2" v="781"/>
    </bk>
    <bk>
      <rc t="2" v="782"/>
    </bk>
    <bk>
      <rc t="2" v="783"/>
    </bk>
    <bk>
      <rc t="2" v="784"/>
    </bk>
    <bk>
      <rc t="2" v="785"/>
    </bk>
    <bk>
      <rc t="2" v="786"/>
    </bk>
    <bk>
      <rc t="2" v="787"/>
    </bk>
    <bk>
      <rc t="2" v="788"/>
    </bk>
    <bk>
      <rc t="2" v="789"/>
    </bk>
    <bk>
      <rc t="2" v="790"/>
    </bk>
    <bk>
      <rc t="2" v="791"/>
    </bk>
    <bk>
      <rc t="2" v="792"/>
    </bk>
    <bk>
      <rc t="2" v="793"/>
    </bk>
    <bk>
      <rc t="2" v="794"/>
    </bk>
    <bk>
      <rc t="2" v="795"/>
    </bk>
    <bk>
      <rc t="2" v="796"/>
    </bk>
    <bk>
      <rc t="2" v="797"/>
    </bk>
    <bk>
      <rc t="2" v="798"/>
    </bk>
    <bk>
      <rc t="2" v="799"/>
    </bk>
    <bk>
      <rc t="2" v="800"/>
    </bk>
    <bk>
      <rc t="2" v="801"/>
    </bk>
    <bk>
      <rc t="2" v="802"/>
    </bk>
    <bk>
      <rc t="2" v="803"/>
    </bk>
    <bk>
      <rc t="2" v="804"/>
    </bk>
    <bk>
      <rc t="2" v="805"/>
    </bk>
    <bk>
      <rc t="2" v="806"/>
    </bk>
    <bk>
      <rc t="2" v="807"/>
    </bk>
    <bk>
      <rc t="2" v="808"/>
    </bk>
    <bk>
      <rc t="2" v="809"/>
    </bk>
    <bk>
      <rc t="2" v="810"/>
    </bk>
    <bk>
      <rc t="2" v="811"/>
    </bk>
    <bk>
      <rc t="2" v="812"/>
    </bk>
    <bk>
      <rc t="2" v="813"/>
    </bk>
    <bk>
      <rc t="2" v="814"/>
    </bk>
    <bk>
      <rc t="2" v="815"/>
    </bk>
    <bk>
      <rc t="2" v="816"/>
    </bk>
    <bk>
      <rc t="2" v="817"/>
    </bk>
    <bk>
      <rc t="2" v="818"/>
    </bk>
    <bk>
      <rc t="2" v="819"/>
    </bk>
    <bk>
      <rc t="2" v="820"/>
    </bk>
    <bk>
      <rc t="2" v="821"/>
    </bk>
    <bk>
      <rc t="2" v="822"/>
    </bk>
    <bk>
      <rc t="2" v="823"/>
    </bk>
    <bk>
      <rc t="2" v="824"/>
    </bk>
    <bk>
      <rc t="2" v="825"/>
    </bk>
    <bk>
      <rc t="2" v="826"/>
    </bk>
    <bk>
      <rc t="2" v="827"/>
    </bk>
    <bk>
      <rc t="2" v="828"/>
    </bk>
    <bk>
      <rc t="2" v="829"/>
    </bk>
    <bk>
      <rc t="2" v="830"/>
    </bk>
    <bk>
      <rc t="2" v="831"/>
    </bk>
    <bk>
      <rc t="2" v="832"/>
    </bk>
    <bk>
      <rc t="2" v="833"/>
    </bk>
    <bk>
      <rc t="2" v="834"/>
    </bk>
    <bk>
      <rc t="2" v="835"/>
    </bk>
    <bk>
      <rc t="2" v="836"/>
    </bk>
    <bk>
      <rc t="2" v="837"/>
    </bk>
    <bk>
      <rc t="2" v="838"/>
    </bk>
    <bk>
      <rc t="2" v="839"/>
    </bk>
    <bk>
      <rc t="2" v="840"/>
    </bk>
    <bk>
      <rc t="2" v="841"/>
    </bk>
    <bk>
      <rc t="2" v="842"/>
    </bk>
    <bk>
      <rc t="2" v="843"/>
    </bk>
    <bk>
      <rc t="2" v="844"/>
    </bk>
    <bk>
      <rc t="2" v="845"/>
    </bk>
    <bk>
      <rc t="2" v="846"/>
    </bk>
    <bk>
      <rc t="2" v="847"/>
    </bk>
    <bk>
      <rc t="2" v="848"/>
    </bk>
    <bk>
      <rc t="2" v="849"/>
    </bk>
    <bk>
      <rc t="2" v="850"/>
    </bk>
    <bk>
      <rc t="2" v="851"/>
    </bk>
    <bk>
      <rc t="2" v="852"/>
    </bk>
    <bk>
      <rc t="2" v="853"/>
    </bk>
    <bk>
      <rc t="2" v="854"/>
    </bk>
    <bk>
      <rc t="2" v="855"/>
    </bk>
    <bk>
      <rc t="2" v="856"/>
    </bk>
    <bk>
      <rc t="2" v="857"/>
    </bk>
    <bk>
      <rc t="2" v="858"/>
    </bk>
    <bk>
      <rc t="2" v="859"/>
    </bk>
    <bk>
      <rc t="2" v="860"/>
    </bk>
    <bk>
      <rc t="2" v="861"/>
    </bk>
    <bk>
      <rc t="2" v="862"/>
    </bk>
    <bk>
      <rc t="2" v="863"/>
    </bk>
    <bk>
      <rc t="2" v="864"/>
    </bk>
    <bk>
      <rc t="2" v="865"/>
    </bk>
    <bk>
      <rc t="2" v="866"/>
    </bk>
    <bk>
      <rc t="2" v="867"/>
    </bk>
    <bk>
      <rc t="2" v="868"/>
    </bk>
    <bk>
      <rc t="2" v="869"/>
    </bk>
    <bk>
      <rc t="2" v="870"/>
    </bk>
    <bk>
      <rc t="2" v="871"/>
    </bk>
    <bk>
      <rc t="2" v="872"/>
    </bk>
    <bk>
      <rc t="2" v="873"/>
    </bk>
    <bk>
      <rc t="2" v="874"/>
    </bk>
    <bk>
      <rc t="2" v="875"/>
    </bk>
    <bk>
      <rc t="2" v="876"/>
    </bk>
    <bk>
      <rc t="2" v="877"/>
    </bk>
    <bk>
      <rc t="2" v="878"/>
    </bk>
    <bk>
      <rc t="2" v="879"/>
    </bk>
    <bk>
      <rc t="2" v="880"/>
    </bk>
    <bk>
      <rc t="2" v="881"/>
    </bk>
    <bk>
      <rc t="2" v="882"/>
    </bk>
    <bk>
      <rc t="2" v="883"/>
    </bk>
    <bk>
      <rc t="2" v="884"/>
    </bk>
    <bk>
      <rc t="2" v="885"/>
    </bk>
    <bk>
      <rc t="2" v="886"/>
    </bk>
    <bk>
      <rc t="2" v="887"/>
    </bk>
    <bk>
      <rc t="2" v="888"/>
    </bk>
    <bk>
      <rc t="2" v="889"/>
    </bk>
    <bk>
      <rc t="2" v="890"/>
    </bk>
    <bk>
      <rc t="2" v="891"/>
    </bk>
    <bk>
      <rc t="2" v="892"/>
    </bk>
    <bk>
      <rc t="2" v="893"/>
    </bk>
    <bk>
      <rc t="2" v="894"/>
    </bk>
    <bk>
      <rc t="2" v="895"/>
    </bk>
    <bk>
      <rc t="2" v="896"/>
    </bk>
    <bk>
      <rc t="2" v="897"/>
    </bk>
    <bk>
      <rc t="2" v="898"/>
    </bk>
    <bk>
      <rc t="2" v="899"/>
    </bk>
    <bk>
      <rc t="2" v="900"/>
    </bk>
    <bk>
      <rc t="2" v="901"/>
    </bk>
    <bk>
      <rc t="2" v="902"/>
    </bk>
    <bk>
      <rc t="2" v="903"/>
    </bk>
    <bk>
      <rc t="2" v="904"/>
    </bk>
    <bk>
      <rc t="2" v="905"/>
    </bk>
    <bk>
      <rc t="2" v="906"/>
    </bk>
    <bk>
      <rc t="2" v="907"/>
    </bk>
    <bk>
      <rc t="2" v="908"/>
    </bk>
    <bk>
      <rc t="2" v="909"/>
    </bk>
    <bk>
      <rc t="2" v="910"/>
    </bk>
    <bk>
      <rc t="2" v="911"/>
    </bk>
    <bk>
      <rc t="2" v="912"/>
    </bk>
    <bk>
      <rc t="2" v="913"/>
    </bk>
    <bk>
      <rc t="2" v="914"/>
    </bk>
    <bk>
      <rc t="2" v="915"/>
    </bk>
    <bk>
      <rc t="2" v="916"/>
    </bk>
    <bk>
      <rc t="2" v="917"/>
    </bk>
    <bk>
      <rc t="2" v="918"/>
    </bk>
    <bk>
      <rc t="2" v="919"/>
    </bk>
    <bk>
      <rc t="2" v="920"/>
    </bk>
    <bk>
      <rc t="2" v="921"/>
    </bk>
    <bk>
      <rc t="2" v="922"/>
    </bk>
    <bk>
      <rc t="2" v="923"/>
    </bk>
    <bk>
      <rc t="2" v="924"/>
    </bk>
    <bk>
      <rc t="2" v="925"/>
    </bk>
    <bk>
      <rc t="2" v="926"/>
    </bk>
    <bk>
      <rc t="2" v="927"/>
    </bk>
    <bk>
      <rc t="2" v="928"/>
    </bk>
    <bk>
      <rc t="2" v="929"/>
    </bk>
    <bk>
      <rc t="2" v="930"/>
    </bk>
    <bk>
      <rc t="2" v="931"/>
    </bk>
    <bk>
      <rc t="2" v="932"/>
    </bk>
    <bk>
      <rc t="2" v="933"/>
    </bk>
    <bk>
      <rc t="2" v="934"/>
    </bk>
    <bk>
      <rc t="2" v="935"/>
    </bk>
    <bk>
      <rc t="2" v="936"/>
    </bk>
    <bk>
      <rc t="2" v="937"/>
    </bk>
    <bk>
      <rc t="2" v="938"/>
    </bk>
    <bk>
      <rc t="2" v="939"/>
    </bk>
    <bk>
      <rc t="2" v="940"/>
    </bk>
    <bk>
      <rc t="2" v="941"/>
    </bk>
    <bk>
      <rc t="2" v="942"/>
    </bk>
    <bk>
      <rc t="2" v="943"/>
    </bk>
    <bk>
      <rc t="2" v="944"/>
    </bk>
    <bk>
      <rc t="2" v="945"/>
    </bk>
    <bk>
      <rc t="2" v="946"/>
    </bk>
    <bk>
      <rc t="2" v="947"/>
    </bk>
    <bk>
      <rc t="2" v="948"/>
    </bk>
    <bk>
      <rc t="2" v="949"/>
    </bk>
    <bk>
      <rc t="2" v="950"/>
    </bk>
    <bk>
      <rc t="2" v="951"/>
    </bk>
    <bk>
      <rc t="2" v="952"/>
    </bk>
    <bk>
      <rc t="2" v="953"/>
    </bk>
    <bk>
      <rc t="2" v="954"/>
    </bk>
    <bk>
      <rc t="2" v="955"/>
    </bk>
    <bk>
      <rc t="2" v="956"/>
    </bk>
    <bk>
      <rc t="2" v="957"/>
    </bk>
    <bk>
      <rc t="2" v="958"/>
    </bk>
    <bk>
      <rc t="2" v="959"/>
    </bk>
    <bk>
      <rc t="2" v="960"/>
    </bk>
    <bk>
      <rc t="2" v="961"/>
    </bk>
    <bk>
      <rc t="2" v="962"/>
    </bk>
    <bk>
      <rc t="2" v="963"/>
    </bk>
    <bk>
      <rc t="2" v="964"/>
    </bk>
    <bk>
      <rc t="2" v="965"/>
    </bk>
    <bk>
      <rc t="2" v="966"/>
    </bk>
    <bk>
      <rc t="2" v="967"/>
    </bk>
    <bk>
      <rc t="2" v="968"/>
    </bk>
    <bk>
      <rc t="2" v="969"/>
    </bk>
    <bk>
      <rc t="2" v="970"/>
    </bk>
    <bk>
      <rc t="2" v="971"/>
    </bk>
    <bk>
      <rc t="2" v="972"/>
    </bk>
    <bk>
      <rc t="2" v="973"/>
    </bk>
    <bk>
      <rc t="2" v="974"/>
    </bk>
    <bk>
      <rc t="2" v="975"/>
    </bk>
    <bk>
      <rc t="2" v="976"/>
    </bk>
    <bk>
      <rc t="2" v="977"/>
    </bk>
    <bk>
      <rc t="2" v="978"/>
    </bk>
    <bk>
      <rc t="2" v="979"/>
    </bk>
    <bk>
      <rc t="2" v="980"/>
    </bk>
    <bk>
      <rc t="2" v="981"/>
    </bk>
    <bk>
      <rc t="2" v="982"/>
    </bk>
    <bk>
      <rc t="2" v="983"/>
    </bk>
    <bk>
      <rc t="2" v="984"/>
    </bk>
    <bk>
      <rc t="2" v="985"/>
    </bk>
    <bk>
      <rc t="2" v="986"/>
    </bk>
    <bk>
      <rc t="2" v="987"/>
    </bk>
    <bk>
      <rc t="2" v="988"/>
    </bk>
    <bk>
      <rc t="2" v="989"/>
    </bk>
    <bk>
      <rc t="2" v="990"/>
    </bk>
    <bk>
      <rc t="2" v="991"/>
    </bk>
    <bk>
      <rc t="2" v="992"/>
    </bk>
    <bk>
      <rc t="2" v="993"/>
    </bk>
    <bk>
      <rc t="2" v="994"/>
    </bk>
    <bk>
      <rc t="2" v="995"/>
    </bk>
    <bk>
      <rc t="2" v="996"/>
    </bk>
    <bk>
      <rc t="2" v="997"/>
    </bk>
    <bk>
      <rc t="2" v="998"/>
    </bk>
    <bk>
      <rc t="2" v="999"/>
    </bk>
    <bk>
      <rc t="2" v="1000"/>
    </bk>
    <bk>
      <rc t="2" v="1001"/>
    </bk>
    <bk>
      <rc t="2" v="1002"/>
    </bk>
    <bk>
      <rc t="2" v="1003"/>
    </bk>
    <bk>
      <rc t="2" v="1004"/>
    </bk>
    <bk>
      <rc t="2" v="1005"/>
    </bk>
    <bk>
      <rc t="2" v="1006"/>
    </bk>
    <bk>
      <rc t="2" v="1007"/>
    </bk>
    <bk>
      <rc t="2" v="1008"/>
    </bk>
    <bk>
      <rc t="2" v="1009"/>
    </bk>
    <bk>
      <rc t="2" v="1010"/>
    </bk>
    <bk>
      <rc t="2" v="1011"/>
    </bk>
    <bk>
      <rc t="2" v="1012"/>
    </bk>
    <bk>
      <rc t="2" v="1013"/>
    </bk>
    <bk>
      <rc t="2" v="1014"/>
    </bk>
    <bk>
      <rc t="2" v="1015"/>
    </bk>
    <bk>
      <rc t="2" v="1016"/>
    </bk>
    <bk>
      <rc t="2" v="1017"/>
    </bk>
    <bk>
      <rc t="2" v="1018"/>
    </bk>
    <bk>
      <rc t="2" v="1019"/>
    </bk>
    <bk>
      <rc t="2" v="1020"/>
    </bk>
    <bk>
      <rc t="2" v="1021"/>
    </bk>
    <bk>
      <rc t="2" v="1022"/>
    </bk>
    <bk>
      <rc t="2" v="1023"/>
    </bk>
    <bk>
      <rc t="2" v="1024"/>
    </bk>
    <bk>
      <rc t="2" v="1025"/>
    </bk>
    <bk>
      <rc t="2" v="1026"/>
    </bk>
    <bk>
      <rc t="2" v="1027"/>
    </bk>
    <bk>
      <rc t="2" v="1028"/>
    </bk>
    <bk>
      <rc t="2" v="1029"/>
    </bk>
    <bk>
      <rc t="2" v="1030"/>
    </bk>
    <bk>
      <rc t="2" v="1031"/>
    </bk>
    <bk>
      <rc t="2" v="1032"/>
    </bk>
    <bk>
      <rc t="2" v="1033"/>
    </bk>
    <bk>
      <rc t="2" v="1034"/>
    </bk>
    <bk>
      <rc t="2" v="1035"/>
    </bk>
    <bk>
      <rc t="2" v="1036"/>
    </bk>
    <bk>
      <rc t="2" v="1037"/>
    </bk>
    <bk>
      <rc t="2" v="1038"/>
    </bk>
    <bk>
      <rc t="2" v="1039"/>
    </bk>
    <bk>
      <rc t="2" v="1040"/>
    </bk>
    <bk>
      <rc t="2" v="1041"/>
    </bk>
    <bk>
      <rc t="2" v="1042"/>
    </bk>
    <bk>
      <rc t="2" v="1043"/>
    </bk>
    <bk>
      <rc t="2" v="1044"/>
    </bk>
    <bk>
      <rc t="2" v="1045"/>
    </bk>
    <bk>
      <rc t="2" v="1046"/>
    </bk>
    <bk>
      <rc t="2" v="1047"/>
    </bk>
    <bk>
      <rc t="2" v="1048"/>
    </bk>
    <bk>
      <rc t="2" v="1049"/>
    </bk>
    <bk>
      <rc t="2" v="1050"/>
    </bk>
    <bk>
      <rc t="2" v="1051"/>
    </bk>
    <bk>
      <rc t="2" v="1052"/>
    </bk>
    <bk>
      <rc t="2" v="1053"/>
    </bk>
    <bk>
      <rc t="2" v="1054"/>
    </bk>
    <bk>
      <rc t="2" v="1055"/>
    </bk>
    <bk>
      <rc t="2" v="1056"/>
    </bk>
    <bk>
      <rc t="2" v="1057"/>
    </bk>
    <bk>
      <rc t="2" v="1058"/>
    </bk>
    <bk>
      <rc t="2" v="1059"/>
    </bk>
    <bk>
      <rc t="2" v="1060"/>
    </bk>
    <bk>
      <rc t="2" v="1061"/>
    </bk>
    <bk>
      <rc t="2" v="1062"/>
    </bk>
    <bk>
      <rc t="2" v="1063"/>
    </bk>
    <bk>
      <rc t="2" v="1064"/>
    </bk>
    <bk>
      <rc t="2" v="1065"/>
    </bk>
    <bk>
      <rc t="2" v="1066"/>
    </bk>
    <bk>
      <rc t="2" v="1067"/>
    </bk>
    <bk>
      <rc t="2" v="1068"/>
    </bk>
    <bk>
      <rc t="2" v="1069"/>
    </bk>
    <bk>
      <rc t="2" v="1070"/>
    </bk>
    <bk>
      <rc t="2" v="1071"/>
    </bk>
    <bk>
      <rc t="2" v="1072"/>
    </bk>
    <bk>
      <rc t="2" v="1073"/>
    </bk>
    <bk>
      <rc t="2" v="1074"/>
    </bk>
    <bk>
      <rc t="2" v="1075"/>
    </bk>
    <bk>
      <rc t="2" v="1076"/>
    </bk>
    <bk>
      <rc t="2" v="1077"/>
    </bk>
    <bk>
      <rc t="2" v="1078"/>
    </bk>
    <bk>
      <rc t="2" v="1079"/>
    </bk>
    <bk>
      <rc t="2" v="1080"/>
    </bk>
    <bk>
      <rc t="2" v="1081"/>
    </bk>
    <bk>
      <rc t="2" v="1082"/>
    </bk>
    <bk>
      <rc t="2" v="1083"/>
    </bk>
    <bk>
      <rc t="2" v="1084"/>
    </bk>
    <bk>
      <rc t="2" v="1085"/>
    </bk>
    <bk>
      <rc t="2" v="1086"/>
    </bk>
    <bk>
      <rc t="2" v="1087"/>
    </bk>
    <bk>
      <rc t="2" v="1088"/>
    </bk>
    <bk>
      <rc t="2" v="1089"/>
    </bk>
    <bk>
      <rc t="2" v="1090"/>
    </bk>
    <bk>
      <rc t="2" v="1091"/>
    </bk>
    <bk>
      <rc t="2" v="1092"/>
    </bk>
    <bk>
      <rc t="2" v="1093"/>
    </bk>
    <bk>
      <rc t="2" v="1094"/>
    </bk>
    <bk>
      <rc t="2" v="1095"/>
    </bk>
    <bk>
      <rc t="2" v="1096"/>
    </bk>
    <bk>
      <rc t="2" v="1097"/>
    </bk>
    <bk>
      <rc t="2" v="1098"/>
    </bk>
    <bk>
      <rc t="2" v="1099"/>
    </bk>
    <bk>
      <rc t="2" v="1100"/>
    </bk>
    <bk>
      <rc t="2" v="1101"/>
    </bk>
    <bk>
      <rc t="2" v="1102"/>
    </bk>
    <bk>
      <rc t="2" v="1103"/>
    </bk>
    <bk>
      <rc t="2" v="1104"/>
    </bk>
    <bk>
      <rc t="2" v="1105"/>
    </bk>
    <bk>
      <rc t="2" v="1106"/>
    </bk>
    <bk>
      <rc t="2" v="1107"/>
    </bk>
    <bk>
      <rc t="2" v="1108"/>
    </bk>
    <bk>
      <rc t="2" v="1109"/>
    </bk>
    <bk>
      <rc t="2" v="1110"/>
    </bk>
    <bk>
      <rc t="2" v="1111"/>
    </bk>
    <bk>
      <rc t="2" v="1112"/>
    </bk>
    <bk>
      <rc t="2" v="1113"/>
    </bk>
    <bk>
      <rc t="2" v="1114"/>
    </bk>
    <bk>
      <rc t="2" v="1115"/>
    </bk>
    <bk>
      <rc t="2" v="1116"/>
    </bk>
    <bk>
      <rc t="2" v="1117"/>
    </bk>
    <bk>
      <rc t="2" v="1118"/>
    </bk>
    <bk>
      <rc t="2" v="1119"/>
    </bk>
    <bk>
      <rc t="2" v="1120"/>
    </bk>
    <bk>
      <rc t="2" v="1121"/>
    </bk>
    <bk>
      <rc t="2" v="1122"/>
    </bk>
    <bk>
      <rc t="2" v="1123"/>
    </bk>
    <bk>
      <rc t="2" v="1124"/>
    </bk>
    <bk>
      <rc t="2" v="1125"/>
    </bk>
    <bk>
      <rc t="2" v="1126"/>
    </bk>
    <bk>
      <rc t="2" v="1127"/>
    </bk>
    <bk>
      <rc t="2" v="1128"/>
    </bk>
    <bk>
      <rc t="2" v="1129"/>
    </bk>
    <bk>
      <rc t="2" v="1130"/>
    </bk>
    <bk>
      <rc t="2" v="1131"/>
    </bk>
    <bk>
      <rc t="2" v="1132"/>
    </bk>
    <bk>
      <rc t="2" v="1133"/>
    </bk>
    <bk>
      <rc t="2" v="1134"/>
    </bk>
    <bk>
      <rc t="2" v="1135"/>
    </bk>
    <bk>
      <rc t="2" v="1136"/>
    </bk>
    <bk>
      <rc t="2" v="1137"/>
    </bk>
    <bk>
      <rc t="2" v="1138"/>
    </bk>
    <bk>
      <rc t="2" v="1139"/>
    </bk>
    <bk>
      <rc t="2" v="1140"/>
    </bk>
    <bk>
      <rc t="2" v="1141"/>
    </bk>
    <bk>
      <rc t="2" v="1142"/>
    </bk>
    <bk>
      <rc t="2" v="1143"/>
    </bk>
    <bk>
      <rc t="2" v="1144"/>
    </bk>
    <bk>
      <rc t="2" v="1145"/>
    </bk>
    <bk>
      <rc t="2" v="1146"/>
    </bk>
    <bk>
      <rc t="2" v="1147"/>
    </bk>
    <bk>
      <rc t="2" v="1148"/>
    </bk>
    <bk>
      <rc t="2" v="1149"/>
    </bk>
    <bk>
      <rc t="2" v="1150"/>
    </bk>
    <bk>
      <rc t="2" v="1151"/>
    </bk>
    <bk>
      <rc t="2" v="1152"/>
    </bk>
    <bk>
      <rc t="2" v="1153"/>
    </bk>
    <bk>
      <rc t="2" v="1154"/>
    </bk>
    <bk>
      <rc t="2" v="1155"/>
    </bk>
    <bk>
      <rc t="2" v="1156"/>
    </bk>
    <bk>
      <rc t="2" v="1157"/>
    </bk>
    <bk>
      <rc t="2" v="1158"/>
    </bk>
    <bk>
      <rc t="2" v="1159"/>
    </bk>
    <bk>
      <rc t="2" v="1160"/>
    </bk>
    <bk>
      <rc t="2" v="1161"/>
    </bk>
    <bk>
      <rc t="2" v="1162"/>
    </bk>
    <bk>
      <rc t="2" v="1163"/>
    </bk>
    <bk>
      <rc t="2" v="1164"/>
    </bk>
    <bk>
      <rc t="2" v="1165"/>
    </bk>
    <bk>
      <rc t="2" v="1166"/>
    </bk>
    <bk>
      <rc t="2" v="1167"/>
    </bk>
    <bk>
      <rc t="2" v="1168"/>
    </bk>
    <bk>
      <rc t="2" v="1169"/>
    </bk>
    <bk>
      <rc t="2" v="1170"/>
    </bk>
    <bk>
      <rc t="2" v="1171"/>
    </bk>
    <bk>
      <rc t="2" v="1172"/>
    </bk>
    <bk>
      <rc t="2" v="1173"/>
    </bk>
    <bk>
      <rc t="2" v="1174"/>
    </bk>
    <bk>
      <rc t="2" v="1175"/>
    </bk>
    <bk>
      <rc t="2" v="1176"/>
    </bk>
    <bk>
      <rc t="2" v="1177"/>
    </bk>
    <bk>
      <rc t="2" v="1178"/>
    </bk>
    <bk>
      <rc t="2" v="1179"/>
    </bk>
    <bk>
      <rc t="2" v="1180"/>
    </bk>
    <bk>
      <rc t="2" v="1181"/>
    </bk>
    <bk>
      <rc t="2" v="1182"/>
    </bk>
    <bk>
      <rc t="2" v="1183"/>
    </bk>
    <bk>
      <rc t="2" v="1184"/>
    </bk>
    <bk>
      <rc t="2" v="1185"/>
    </bk>
    <bk>
      <rc t="2" v="1186"/>
    </bk>
    <bk>
      <rc t="2" v="1187"/>
    </bk>
    <bk>
      <rc t="2" v="1188"/>
    </bk>
    <bk>
      <rc t="2" v="1189"/>
    </bk>
    <bk>
      <rc t="2" v="1190"/>
    </bk>
    <bk>
      <rc t="2" v="1191"/>
    </bk>
    <bk>
      <rc t="2" v="1192"/>
    </bk>
    <bk>
      <rc t="2" v="1193"/>
    </bk>
    <bk>
      <rc t="2" v="1194"/>
    </bk>
    <bk>
      <rc t="2" v="1195"/>
    </bk>
    <bk>
      <rc t="2" v="1196"/>
    </bk>
    <bk>
      <rc t="2" v="1197"/>
    </bk>
    <bk>
      <rc t="2" v="1198"/>
    </bk>
    <bk>
      <rc t="2" v="1199"/>
    </bk>
    <bk>
      <rc t="2" v="1200"/>
    </bk>
    <bk>
      <rc t="2" v="1201"/>
    </bk>
    <bk>
      <rc t="2" v="1202"/>
    </bk>
    <bk>
      <rc t="2" v="1203"/>
    </bk>
    <bk>
      <rc t="2" v="1204"/>
    </bk>
    <bk>
      <rc t="2" v="1205"/>
    </bk>
    <bk>
      <rc t="2" v="1206"/>
    </bk>
    <bk>
      <rc t="2" v="1207"/>
    </bk>
    <bk>
      <rc t="2" v="1208"/>
    </bk>
    <bk>
      <rc t="2" v="1209"/>
    </bk>
    <bk>
      <rc t="2" v="1210"/>
    </bk>
    <bk>
      <rc t="2" v="1211"/>
    </bk>
    <bk>
      <rc t="2" v="1212"/>
    </bk>
    <bk>
      <rc t="2" v="1213"/>
    </bk>
    <bk>
      <rc t="2" v="1214"/>
    </bk>
    <bk>
      <rc t="2" v="1215"/>
    </bk>
    <bk>
      <rc t="2" v="1216"/>
    </bk>
    <bk>
      <rc t="2" v="1217"/>
    </bk>
    <bk>
      <rc t="2" v="1218"/>
    </bk>
    <bk>
      <rc t="2" v="1219"/>
    </bk>
    <bk>
      <rc t="2" v="1220"/>
    </bk>
    <bk>
      <rc t="2" v="1221"/>
    </bk>
    <bk>
      <rc t="2" v="1222"/>
    </bk>
    <bk>
      <rc t="2" v="1223"/>
    </bk>
    <bk>
      <rc t="2" v="1224"/>
    </bk>
    <bk>
      <rc t="2" v="1225"/>
    </bk>
    <bk>
      <rc t="2" v="1226"/>
    </bk>
    <bk>
      <rc t="2" v="1227"/>
    </bk>
    <bk>
      <rc t="2" v="1228"/>
    </bk>
    <bk>
      <rc t="2" v="1229"/>
    </bk>
    <bk>
      <rc t="2" v="1230"/>
    </bk>
    <bk>
      <rc t="2" v="1231"/>
    </bk>
    <bk>
      <rc t="2" v="1232"/>
    </bk>
    <bk>
      <rc t="2" v="1233"/>
    </bk>
    <bk>
      <rc t="2" v="1234"/>
    </bk>
    <bk>
      <rc t="2" v="1235"/>
    </bk>
    <bk>
      <rc t="2" v="1236"/>
    </bk>
    <bk>
      <rc t="2" v="1237"/>
    </bk>
    <bk>
      <rc t="2" v="1238"/>
    </bk>
    <bk>
      <rc t="2" v="1239"/>
    </bk>
    <bk>
      <rc t="2" v="1240"/>
    </bk>
    <bk>
      <rc t="2" v="1241"/>
    </bk>
    <bk>
      <rc t="2" v="1242"/>
    </bk>
    <bk>
      <rc t="2" v="1243"/>
    </bk>
    <bk>
      <rc t="2" v="1244"/>
    </bk>
    <bk>
      <rc t="2" v="1245"/>
    </bk>
    <bk>
      <rc t="2" v="1246"/>
    </bk>
    <bk>
      <rc t="2" v="1247"/>
    </bk>
    <bk>
      <rc t="2" v="1248"/>
    </bk>
    <bk>
      <rc t="2" v="1249"/>
    </bk>
    <bk>
      <rc t="2" v="1250"/>
    </bk>
    <bk>
      <rc t="2" v="1251"/>
    </bk>
    <bk>
      <rc t="2" v="1252"/>
    </bk>
    <bk>
      <rc t="2" v="1253"/>
    </bk>
    <bk>
      <rc t="2" v="1254"/>
    </bk>
    <bk>
      <rc t="2" v="1255"/>
    </bk>
    <bk>
      <rc t="2" v="1256"/>
    </bk>
    <bk>
      <rc t="2" v="1257"/>
    </bk>
    <bk>
      <rc t="2" v="1258"/>
    </bk>
    <bk>
      <rc t="2" v="1259"/>
    </bk>
    <bk>
      <rc t="2" v="1260"/>
    </bk>
    <bk>
      <rc t="2" v="1261"/>
    </bk>
    <bk>
      <rc t="2" v="1262"/>
    </bk>
    <bk>
      <rc t="2" v="1263"/>
    </bk>
    <bk>
      <rc t="2" v="1264"/>
    </bk>
    <bk>
      <rc t="2" v="1265"/>
    </bk>
    <bk>
      <rc t="2" v="1266"/>
    </bk>
    <bk>
      <rc t="2" v="1267"/>
    </bk>
    <bk>
      <rc t="2" v="1268"/>
    </bk>
    <bk>
      <rc t="2" v="1269"/>
    </bk>
    <bk>
      <rc t="2" v="1270"/>
    </bk>
    <bk>
      <rc t="2" v="1271"/>
    </bk>
    <bk>
      <rc t="2" v="1272"/>
    </bk>
    <bk>
      <rc t="2" v="1273"/>
    </bk>
    <bk>
      <rc t="2" v="1274"/>
    </bk>
    <bk>
      <rc t="2" v="1275"/>
    </bk>
    <bk>
      <rc t="2" v="1276"/>
    </bk>
    <bk>
      <rc t="2" v="1277"/>
    </bk>
    <bk>
      <rc t="2" v="1278"/>
    </bk>
    <bk>
      <rc t="2" v="1279"/>
    </bk>
    <bk>
      <rc t="2" v="1280"/>
    </bk>
    <bk>
      <rc t="2" v="1281"/>
    </bk>
    <bk>
      <rc t="2" v="1282"/>
    </bk>
    <bk>
      <rc t="2" v="1283"/>
    </bk>
    <bk>
      <rc t="2" v="1284"/>
    </bk>
    <bk>
      <rc t="2" v="1285"/>
    </bk>
    <bk>
      <rc t="2" v="1286"/>
    </bk>
    <bk>
      <rc t="2" v="1287"/>
    </bk>
    <bk>
      <rc t="2" v="1288"/>
    </bk>
    <bk>
      <rc t="2" v="1289"/>
    </bk>
    <bk>
      <rc t="2" v="1290"/>
    </bk>
    <bk>
      <rc t="2" v="1291"/>
    </bk>
    <bk>
      <rc t="2" v="1292"/>
    </bk>
    <bk>
      <rc t="2" v="1293"/>
    </bk>
    <bk>
      <rc t="2" v="1294"/>
    </bk>
    <bk>
      <rc t="2" v="1295"/>
    </bk>
    <bk>
      <rc t="2" v="1296"/>
    </bk>
    <bk>
      <rc t="2" v="1297"/>
    </bk>
    <bk>
      <rc t="2" v="1298"/>
    </bk>
    <bk>
      <rc t="2" v="1299"/>
    </bk>
    <bk>
      <rc t="2" v="1300"/>
    </bk>
    <bk>
      <rc t="2" v="1301"/>
    </bk>
    <bk>
      <rc t="2" v="1302"/>
    </bk>
    <bk>
      <rc t="2" v="1303"/>
    </bk>
    <bk>
      <rc t="2" v="1304"/>
    </bk>
    <bk>
      <rc t="2" v="1305"/>
    </bk>
    <bk>
      <rc t="2" v="1306"/>
    </bk>
    <bk>
      <rc t="2" v="1307"/>
    </bk>
    <bk>
      <rc t="2" v="1308"/>
    </bk>
    <bk>
      <rc t="2" v="1309"/>
    </bk>
    <bk>
      <rc t="2" v="1310"/>
    </bk>
    <bk>
      <rc t="2" v="1311"/>
    </bk>
    <bk>
      <rc t="2" v="1312"/>
    </bk>
    <bk>
      <rc t="2" v="1313"/>
    </bk>
    <bk>
      <rc t="2" v="1314"/>
    </bk>
    <bk>
      <rc t="2" v="1315"/>
    </bk>
    <bk>
      <rc t="2" v="1316"/>
    </bk>
    <bk>
      <rc t="2" v="1317"/>
    </bk>
    <bk>
      <rc t="2" v="1318"/>
    </bk>
    <bk>
      <rc t="2" v="1319"/>
    </bk>
    <bk>
      <rc t="2" v="1320"/>
    </bk>
    <bk>
      <rc t="2" v="1321"/>
    </bk>
    <bk>
      <rc t="2" v="1322"/>
    </bk>
    <bk>
      <rc t="2" v="1323"/>
    </bk>
    <bk>
      <rc t="2" v="1324"/>
    </bk>
    <bk>
      <rc t="2" v="1325"/>
    </bk>
    <bk>
      <rc t="2" v="1326"/>
    </bk>
    <bk>
      <rc t="2" v="1327"/>
    </bk>
    <bk>
      <rc t="2" v="1328"/>
    </bk>
    <bk>
      <rc t="2" v="1329"/>
    </bk>
    <bk>
      <rc t="2" v="1330"/>
    </bk>
    <bk>
      <rc t="2" v="1331"/>
    </bk>
    <bk>
      <rc t="2" v="1332"/>
    </bk>
    <bk>
      <rc t="2" v="1333"/>
    </bk>
    <bk>
      <rc t="2" v="1334"/>
    </bk>
    <bk>
      <rc t="2" v="1335"/>
    </bk>
    <bk>
      <rc t="2" v="1336"/>
    </bk>
    <bk>
      <rc t="2" v="1337"/>
    </bk>
    <bk>
      <rc t="2" v="1338"/>
    </bk>
    <bk>
      <rc t="2" v="1339"/>
    </bk>
    <bk>
      <rc t="2" v="1340"/>
    </bk>
    <bk>
      <rc t="2" v="1341"/>
    </bk>
    <bk>
      <rc t="2" v="1342"/>
    </bk>
    <bk>
      <rc t="2" v="1343"/>
    </bk>
    <bk>
      <rc t="2" v="1344"/>
    </bk>
    <bk>
      <rc t="2" v="1345"/>
    </bk>
    <bk>
      <rc t="2" v="1346"/>
    </bk>
    <bk>
      <rc t="2" v="1347"/>
    </bk>
    <bk>
      <rc t="2" v="1348"/>
    </bk>
    <bk>
      <rc t="2" v="1349"/>
    </bk>
    <bk>
      <rc t="2" v="1350"/>
    </bk>
    <bk>
      <rc t="2" v="1351"/>
    </bk>
    <bk>
      <rc t="2" v="1352"/>
    </bk>
    <bk>
      <rc t="2" v="1353"/>
    </bk>
    <bk>
      <rc t="2" v="1354"/>
    </bk>
    <bk>
      <rc t="2" v="1355"/>
    </bk>
    <bk>
      <rc t="2" v="1356"/>
    </bk>
    <bk>
      <rc t="2" v="1357"/>
    </bk>
    <bk>
      <rc t="2" v="1358"/>
    </bk>
    <bk>
      <rc t="2" v="1359"/>
    </bk>
    <bk>
      <rc t="2" v="1360"/>
    </bk>
    <bk>
      <rc t="2" v="1361"/>
    </bk>
    <bk>
      <rc t="2" v="1362"/>
    </bk>
    <bk>
      <rc t="2" v="1363"/>
    </bk>
    <bk>
      <rc t="2" v="1364"/>
    </bk>
    <bk>
      <rc t="2" v="1365"/>
    </bk>
    <bk>
      <rc t="2" v="1366"/>
    </bk>
    <bk>
      <rc t="2" v="1367"/>
    </bk>
    <bk>
      <rc t="2" v="1368"/>
    </bk>
    <bk>
      <rc t="2" v="1369"/>
    </bk>
    <bk>
      <rc t="2" v="1370"/>
    </bk>
    <bk>
      <rc t="2" v="1371"/>
    </bk>
    <bk>
      <rc t="2" v="1372"/>
    </bk>
    <bk>
      <rc t="2" v="1373"/>
    </bk>
    <bk>
      <rc t="2" v="1374"/>
    </bk>
    <bk>
      <rc t="2" v="1375"/>
    </bk>
    <bk>
      <rc t="2" v="1376"/>
    </bk>
    <bk>
      <rc t="2" v="1377"/>
    </bk>
    <bk>
      <rc t="2" v="1378"/>
    </bk>
    <bk>
      <rc t="2" v="1379"/>
    </bk>
    <bk>
      <rc t="2" v="1380"/>
    </bk>
    <bk>
      <rc t="2" v="1381"/>
    </bk>
    <bk>
      <rc t="2" v="1382"/>
    </bk>
    <bk>
      <rc t="2" v="1383"/>
    </bk>
    <bk>
      <rc t="2" v="1384"/>
    </bk>
    <bk>
      <rc t="2" v="1385"/>
    </bk>
    <bk>
      <rc t="2" v="1386"/>
    </bk>
    <bk>
      <rc t="2" v="1387"/>
    </bk>
    <bk>
      <rc t="2" v="1388"/>
    </bk>
    <bk>
      <rc t="2" v="1389"/>
    </bk>
    <bk>
      <rc t="2" v="1390"/>
    </bk>
    <bk>
      <rc t="2" v="1391"/>
    </bk>
    <bk>
      <rc t="2" v="1392"/>
    </bk>
    <bk>
      <rc t="2" v="1393"/>
    </bk>
    <bk>
      <rc t="2" v="1394"/>
    </bk>
    <bk>
      <rc t="2" v="1395"/>
    </bk>
    <bk>
      <rc t="2" v="1396"/>
    </bk>
    <bk>
      <rc t="2" v="1397"/>
    </bk>
    <bk>
      <rc t="2" v="1398"/>
    </bk>
    <bk>
      <rc t="2" v="1399"/>
    </bk>
    <bk>
      <rc t="2" v="1400"/>
    </bk>
    <bk>
      <rc t="2" v="1401"/>
    </bk>
    <bk>
      <rc t="2" v="1402"/>
    </bk>
    <bk>
      <rc t="2" v="1403"/>
    </bk>
    <bk>
      <rc t="2" v="1404"/>
    </bk>
    <bk>
      <rc t="2" v="1405"/>
    </bk>
    <bk>
      <rc t="2" v="1406"/>
    </bk>
    <bk>
      <rc t="2" v="1407"/>
    </bk>
    <bk>
      <rc t="2" v="1408"/>
    </bk>
    <bk>
      <rc t="2" v="1409"/>
    </bk>
    <bk>
      <rc t="2" v="1410"/>
    </bk>
    <bk>
      <rc t="2" v="1411"/>
    </bk>
    <bk>
      <rc t="2" v="1412"/>
    </bk>
    <bk>
      <rc t="2" v="1413"/>
    </bk>
    <bk>
      <rc t="2" v="1414"/>
    </bk>
    <bk>
      <rc t="2" v="1415"/>
    </bk>
    <bk>
      <rc t="2" v="1416"/>
    </bk>
    <bk>
      <rc t="2" v="1417"/>
    </bk>
    <bk>
      <rc t="2" v="1418"/>
    </bk>
    <bk>
      <rc t="2" v="1419"/>
    </bk>
    <bk>
      <rc t="2" v="1420"/>
    </bk>
    <bk>
      <rc t="2" v="1421"/>
    </bk>
    <bk>
      <rc t="2" v="1422"/>
    </bk>
    <bk>
      <rc t="2" v="1423"/>
    </bk>
    <bk>
      <rc t="2" v="1424"/>
    </bk>
    <bk>
      <rc t="2" v="1425"/>
    </bk>
    <bk>
      <rc t="2" v="1426"/>
    </bk>
    <bk>
      <rc t="2" v="1427"/>
    </bk>
    <bk>
      <rc t="2" v="1428"/>
    </bk>
    <bk>
      <rc t="2" v="1429"/>
    </bk>
    <bk>
      <rc t="2" v="1430"/>
    </bk>
    <bk>
      <rc t="2" v="1431"/>
    </bk>
    <bk>
      <rc t="2" v="1432"/>
    </bk>
    <bk>
      <rc t="2" v="1433"/>
    </bk>
    <bk>
      <rc t="2" v="1434"/>
    </bk>
    <bk>
      <rc t="2" v="1435"/>
    </bk>
    <bk>
      <rc t="2" v="1436"/>
    </bk>
    <bk>
      <rc t="2" v="1437"/>
    </bk>
    <bk>
      <rc t="2" v="1438"/>
    </bk>
    <bk>
      <rc t="2" v="1439"/>
    </bk>
    <bk>
      <rc t="2" v="1440"/>
    </bk>
    <bk>
      <rc t="2" v="1441"/>
    </bk>
    <bk>
      <rc t="2" v="1442"/>
    </bk>
    <bk>
      <rc t="2" v="1443"/>
    </bk>
    <bk>
      <rc t="2" v="1444"/>
    </bk>
    <bk>
      <rc t="2" v="1445"/>
    </bk>
    <bk>
      <rc t="2" v="1446"/>
    </bk>
    <bk>
      <rc t="2" v="1447"/>
    </bk>
    <bk>
      <rc t="2" v="1448"/>
    </bk>
    <bk>
      <rc t="2" v="1449"/>
    </bk>
    <bk>
      <rc t="2" v="1450"/>
    </bk>
    <bk>
      <rc t="2" v="1451"/>
    </bk>
    <bk>
      <rc t="2" v="1452"/>
    </bk>
    <bk>
      <rc t="2" v="1453"/>
    </bk>
    <bk>
      <rc t="2" v="1454"/>
    </bk>
    <bk>
      <rc t="2" v="1455"/>
    </bk>
    <bk>
      <rc t="2" v="1456"/>
    </bk>
    <bk>
      <rc t="2" v="1457"/>
    </bk>
    <bk>
      <rc t="2" v="1458"/>
    </bk>
    <bk>
      <rc t="2" v="1459"/>
    </bk>
    <bk>
      <rc t="2" v="1460"/>
    </bk>
    <bk>
      <rc t="2" v="1461"/>
    </bk>
    <bk>
      <rc t="2" v="1462"/>
    </bk>
    <bk>
      <rc t="2" v="1463"/>
    </bk>
    <bk>
      <rc t="2" v="1464"/>
    </bk>
    <bk>
      <rc t="2" v="1465"/>
    </bk>
    <bk>
      <rc t="2" v="1466"/>
    </bk>
    <bk>
      <rc t="2" v="1467"/>
    </bk>
    <bk>
      <rc t="2" v="1468"/>
    </bk>
    <bk>
      <rc t="2" v="1469"/>
    </bk>
    <bk>
      <rc t="2" v="1470"/>
    </bk>
    <bk>
      <rc t="2" v="1471"/>
    </bk>
    <bk>
      <rc t="2" v="1472"/>
    </bk>
    <bk>
      <rc t="2" v="1473"/>
    </bk>
    <bk>
      <rc t="2" v="1474"/>
    </bk>
    <bk>
      <rc t="2" v="1475"/>
    </bk>
    <bk>
      <rc t="2" v="1476"/>
    </bk>
    <bk>
      <rc t="2" v="1477"/>
    </bk>
    <bk>
      <rc t="2" v="1478"/>
    </bk>
    <bk>
      <rc t="2" v="1479"/>
    </bk>
    <bk>
      <rc t="2" v="1480"/>
    </bk>
    <bk>
      <rc t="2" v="1481"/>
    </bk>
    <bk>
      <rc t="2" v="1482"/>
    </bk>
    <bk>
      <rc t="2" v="1483"/>
    </bk>
    <bk>
      <rc t="2" v="1484"/>
    </bk>
    <bk>
      <rc t="2" v="1485"/>
    </bk>
    <bk>
      <rc t="2" v="1486"/>
    </bk>
    <bk>
      <rc t="2" v="1487"/>
    </bk>
    <bk>
      <rc t="2" v="1488"/>
    </bk>
    <bk>
      <rc t="2" v="1489"/>
    </bk>
    <bk>
      <rc t="2" v="1490"/>
    </bk>
    <bk>
      <rc t="2" v="1491"/>
    </bk>
    <bk>
      <rc t="2" v="1492"/>
    </bk>
    <bk>
      <rc t="2" v="1493"/>
    </bk>
    <bk>
      <rc t="2" v="1494"/>
    </bk>
    <bk>
      <rc t="2" v="1495"/>
    </bk>
    <bk>
      <rc t="2" v="1496"/>
    </bk>
    <bk>
      <rc t="2" v="1497"/>
    </bk>
    <bk>
      <rc t="2" v="1498"/>
    </bk>
    <bk>
      <rc t="2" v="1499"/>
    </bk>
    <bk>
      <rc t="2" v="1500"/>
    </bk>
    <bk>
      <rc t="2" v="1501"/>
    </bk>
    <bk>
      <rc t="2" v="1502"/>
    </bk>
    <bk>
      <rc t="2" v="1503"/>
    </bk>
    <bk>
      <rc t="2" v="1504"/>
    </bk>
    <bk>
      <rc t="2" v="1505"/>
    </bk>
    <bk>
      <rc t="2" v="1506"/>
    </bk>
    <bk>
      <rc t="2" v="1507"/>
    </bk>
    <bk>
      <rc t="2" v="1508"/>
    </bk>
    <bk>
      <rc t="2" v="1509"/>
    </bk>
    <bk>
      <rc t="2" v="1510"/>
    </bk>
    <bk>
      <rc t="2" v="1511"/>
    </bk>
    <bk>
      <rc t="2" v="1512"/>
    </bk>
    <bk>
      <rc t="2" v="1513"/>
    </bk>
    <bk>
      <rc t="2" v="1514"/>
    </bk>
    <bk>
      <rc t="2" v="1515"/>
    </bk>
    <bk>
      <rc t="2" v="1516"/>
    </bk>
    <bk>
      <rc t="2" v="1517"/>
    </bk>
    <bk>
      <rc t="2" v="1518"/>
    </bk>
    <bk>
      <rc t="2" v="1519"/>
    </bk>
    <bk>
      <rc t="2" v="1520"/>
    </bk>
    <bk>
      <rc t="2" v="1521"/>
    </bk>
    <bk>
      <rc t="2" v="1522"/>
    </bk>
    <bk>
      <rc t="2" v="1523"/>
    </bk>
    <bk>
      <rc t="2" v="1524"/>
    </bk>
    <bk>
      <rc t="2" v="1525"/>
    </bk>
    <bk>
      <rc t="2" v="1526"/>
    </bk>
    <bk>
      <rc t="2" v="1527"/>
    </bk>
    <bk>
      <rc t="2" v="1528"/>
    </bk>
    <bk>
      <rc t="2" v="1529"/>
    </bk>
    <bk>
      <rc t="2" v="1530"/>
    </bk>
    <bk>
      <rc t="2" v="1531"/>
    </bk>
    <bk>
      <rc t="2" v="1532"/>
    </bk>
    <bk>
      <rc t="2" v="1533"/>
    </bk>
    <bk>
      <rc t="2" v="1534"/>
    </bk>
    <bk>
      <rc t="2" v="1535"/>
    </bk>
    <bk>
      <rc t="2" v="1536"/>
    </bk>
    <bk>
      <rc t="2" v="1537"/>
    </bk>
    <bk>
      <rc t="2" v="1538"/>
    </bk>
    <bk>
      <rc t="2" v="1539"/>
    </bk>
    <bk>
      <rc t="2" v="1540"/>
    </bk>
    <bk>
      <rc t="2" v="1541"/>
    </bk>
    <bk>
      <rc t="2" v="1542"/>
    </bk>
    <bk>
      <rc t="2" v="1543"/>
    </bk>
    <bk>
      <rc t="2" v="1544"/>
    </bk>
    <bk>
      <rc t="2" v="1545"/>
    </bk>
    <bk>
      <rc t="2" v="1546"/>
    </bk>
    <bk>
      <rc t="2" v="1547"/>
    </bk>
    <bk>
      <rc t="2" v="1548"/>
    </bk>
    <bk>
      <rc t="2" v="1549"/>
    </bk>
    <bk>
      <rc t="2" v="1550"/>
    </bk>
    <bk>
      <rc t="2" v="1551"/>
    </bk>
    <bk>
      <rc t="2" v="1552"/>
    </bk>
    <bk>
      <rc t="2" v="1553"/>
    </bk>
    <bk>
      <rc t="2" v="1554"/>
    </bk>
    <bk>
      <rc t="2" v="1555"/>
    </bk>
    <bk>
      <rc t="2" v="1556"/>
    </bk>
    <bk>
      <rc t="2" v="1557"/>
    </bk>
    <bk>
      <rc t="2" v="1558"/>
    </bk>
    <bk>
      <rc t="2" v="1559"/>
    </bk>
    <bk>
      <rc t="2" v="1560"/>
    </bk>
    <bk>
      <rc t="2" v="1561"/>
    </bk>
    <bk>
      <rc t="2" v="1562"/>
    </bk>
    <bk>
      <rc t="2" v="1563"/>
    </bk>
    <bk>
      <rc t="2" v="1564"/>
    </bk>
    <bk>
      <rc t="2" v="1565"/>
    </bk>
    <bk>
      <rc t="2" v="1566"/>
    </bk>
    <bk>
      <rc t="2" v="1567"/>
    </bk>
    <bk>
      <rc t="2" v="1568"/>
    </bk>
    <bk>
      <rc t="2" v="1569"/>
    </bk>
    <bk>
      <rc t="2" v="1570"/>
    </bk>
    <bk>
      <rc t="2" v="1571"/>
    </bk>
    <bk>
      <rc t="2" v="1572"/>
    </bk>
    <bk>
      <rc t="2" v="1573"/>
    </bk>
    <bk>
      <rc t="2" v="1574"/>
    </bk>
    <bk>
      <rc t="2" v="1575"/>
    </bk>
    <bk>
      <rc t="2" v="1576"/>
    </bk>
    <bk>
      <rc t="2" v="1577"/>
    </bk>
    <bk>
      <rc t="2" v="1578"/>
    </bk>
    <bk>
      <rc t="2" v="1579"/>
    </bk>
    <bk>
      <rc t="2" v="1580"/>
    </bk>
    <bk>
      <rc t="2" v="1581"/>
    </bk>
    <bk>
      <rc t="2" v="1582"/>
    </bk>
    <bk>
      <rc t="2" v="1583"/>
    </bk>
    <bk>
      <rc t="2" v="1584"/>
    </bk>
    <bk>
      <rc t="2" v="1585"/>
    </bk>
    <bk>
      <rc t="2" v="1586"/>
    </bk>
    <bk>
      <rc t="2" v="1587"/>
    </bk>
    <bk>
      <rc t="2" v="1588"/>
    </bk>
    <bk>
      <rc t="2" v="1589"/>
    </bk>
    <bk>
      <rc t="2" v="1590"/>
    </bk>
    <bk>
      <rc t="2" v="1591"/>
    </bk>
    <bk>
      <rc t="2" v="1592"/>
    </bk>
    <bk>
      <rc t="2" v="1593"/>
    </bk>
    <bk>
      <rc t="2" v="1594"/>
    </bk>
    <bk>
      <rc t="2" v="1595"/>
    </bk>
    <bk>
      <rc t="2" v="1596"/>
    </bk>
    <bk>
      <rc t="2" v="1597"/>
    </bk>
    <bk>
      <rc t="2" v="1598"/>
    </bk>
    <bk>
      <rc t="2" v="1599"/>
    </bk>
    <bk>
      <rc t="2" v="1600"/>
    </bk>
    <bk>
      <rc t="2" v="1601"/>
    </bk>
    <bk>
      <rc t="2" v="1602"/>
    </bk>
    <bk>
      <rc t="2" v="1603"/>
    </bk>
    <bk>
      <rc t="2" v="1604"/>
    </bk>
    <bk>
      <rc t="2" v="1605"/>
    </bk>
    <bk>
      <rc t="2" v="1606"/>
    </bk>
    <bk>
      <rc t="2" v="1607"/>
    </bk>
    <bk>
      <rc t="2" v="1608"/>
    </bk>
    <bk>
      <rc t="2" v="1609"/>
    </bk>
    <bk>
      <rc t="2" v="1610"/>
    </bk>
    <bk>
      <rc t="2" v="1611"/>
    </bk>
    <bk>
      <rc t="2" v="1612"/>
    </bk>
    <bk>
      <rc t="2" v="1613"/>
    </bk>
    <bk>
      <rc t="2" v="1614"/>
    </bk>
    <bk>
      <rc t="2" v="1615"/>
    </bk>
    <bk>
      <rc t="2" v="1616"/>
    </bk>
    <bk>
      <rc t="2" v="1617"/>
    </bk>
    <bk>
      <rc t="2" v="1618"/>
    </bk>
    <bk>
      <rc t="2" v="1619"/>
    </bk>
    <bk>
      <rc t="2" v="1620"/>
    </bk>
    <bk>
      <rc t="2" v="1621"/>
    </bk>
    <bk>
      <rc t="2" v="1622"/>
    </bk>
    <bk>
      <rc t="2" v="1623"/>
    </bk>
    <bk>
      <rc t="2" v="1624"/>
    </bk>
    <bk>
      <rc t="2" v="1625"/>
    </bk>
    <bk>
      <rc t="2" v="1626"/>
    </bk>
    <bk>
      <rc t="2" v="1627"/>
    </bk>
    <bk>
      <rc t="2" v="1628"/>
    </bk>
    <bk>
      <rc t="2" v="1629"/>
    </bk>
    <bk>
      <rc t="2" v="1630"/>
    </bk>
    <bk>
      <rc t="2" v="1631"/>
    </bk>
    <bk>
      <rc t="2" v="1632"/>
    </bk>
    <bk>
      <rc t="2" v="1633"/>
    </bk>
    <bk>
      <rc t="2" v="1634"/>
    </bk>
    <bk>
      <rc t="2" v="1635"/>
    </bk>
    <bk>
      <rc t="2" v="1636"/>
    </bk>
    <bk>
      <rc t="2" v="1637"/>
    </bk>
    <bk>
      <rc t="2" v="1638"/>
    </bk>
    <bk>
      <rc t="2" v="1639"/>
    </bk>
    <bk>
      <rc t="2" v="1640"/>
    </bk>
    <bk>
      <rc t="2" v="1641"/>
    </bk>
    <bk>
      <rc t="2" v="1642"/>
    </bk>
    <bk>
      <rc t="2" v="1643"/>
    </bk>
    <bk>
      <rc t="2" v="1644"/>
    </bk>
    <bk>
      <rc t="2" v="1645"/>
    </bk>
    <bk>
      <rc t="2" v="1646"/>
    </bk>
    <bk>
      <rc t="2" v="1647"/>
    </bk>
    <bk>
      <rc t="2" v="1648"/>
    </bk>
    <bk>
      <rc t="2" v="1649"/>
    </bk>
    <bk>
      <rc t="2" v="1650"/>
    </bk>
    <bk>
      <rc t="2" v="1651"/>
    </bk>
    <bk>
      <rc t="2" v="1652"/>
    </bk>
    <bk>
      <rc t="2" v="1653"/>
    </bk>
    <bk>
      <rc t="2" v="1654"/>
    </bk>
    <bk>
      <rc t="2" v="1655"/>
    </bk>
    <bk>
      <rc t="2" v="1656"/>
    </bk>
    <bk>
      <rc t="2" v="1657"/>
    </bk>
    <bk>
      <rc t="2" v="1658"/>
    </bk>
    <bk>
      <rc t="2" v="1659"/>
    </bk>
    <bk>
      <rc t="2" v="1660"/>
    </bk>
    <bk>
      <rc t="2" v="1661"/>
    </bk>
    <bk>
      <rc t="2" v="1662"/>
    </bk>
    <bk>
      <rc t="2" v="1663"/>
    </bk>
    <bk>
      <rc t="2" v="1664"/>
    </bk>
    <bk>
      <rc t="2" v="1665"/>
    </bk>
    <bk>
      <rc t="2" v="1666"/>
    </bk>
    <bk>
      <rc t="2" v="1667"/>
    </bk>
    <bk>
      <rc t="2" v="1668"/>
    </bk>
    <bk>
      <rc t="2" v="1669"/>
    </bk>
    <bk>
      <rc t="2" v="1670"/>
    </bk>
    <bk>
      <rc t="2" v="1671"/>
    </bk>
    <bk>
      <rc t="2" v="1672"/>
    </bk>
    <bk>
      <rc t="2" v="1673"/>
    </bk>
    <bk>
      <rc t="2" v="1674"/>
    </bk>
    <bk>
      <rc t="2" v="1675"/>
    </bk>
    <bk>
      <rc t="2" v="1676"/>
    </bk>
    <bk>
      <rc t="2" v="1677"/>
    </bk>
    <bk>
      <rc t="2" v="1678"/>
    </bk>
    <bk>
      <rc t="2" v="1679"/>
    </bk>
    <bk>
      <rc t="2" v="1680"/>
    </bk>
    <bk>
      <rc t="2" v="1681"/>
    </bk>
    <bk>
      <rc t="2" v="1682"/>
    </bk>
    <bk>
      <rc t="2" v="1683"/>
    </bk>
    <bk>
      <rc t="2" v="1684"/>
    </bk>
    <bk>
      <rc t="2" v="1685"/>
    </bk>
    <bk>
      <rc t="2" v="1686"/>
    </bk>
    <bk>
      <rc t="2" v="1687"/>
    </bk>
    <bk>
      <rc t="2" v="1688"/>
    </bk>
    <bk>
      <rc t="2" v="1689"/>
    </bk>
    <bk>
      <rc t="2" v="1690"/>
    </bk>
    <bk>
      <rc t="2" v="1691"/>
    </bk>
    <bk>
      <rc t="2" v="1692"/>
    </bk>
    <bk>
      <rc t="2" v="1693"/>
    </bk>
    <bk>
      <rc t="2" v="1694"/>
    </bk>
    <bk>
      <rc t="2" v="1695"/>
    </bk>
    <bk>
      <rc t="2" v="1696"/>
    </bk>
    <bk>
      <rc t="2" v="1697"/>
    </bk>
    <bk>
      <rc t="2" v="1698"/>
    </bk>
    <bk>
      <rc t="2" v="1699"/>
    </bk>
    <bk>
      <rc t="2" v="1700"/>
    </bk>
    <bk>
      <rc t="2" v="1701"/>
    </bk>
    <bk>
      <rc t="2" v="1702"/>
    </bk>
    <bk>
      <rc t="2" v="1703"/>
    </bk>
    <bk>
      <rc t="2" v="1704"/>
    </bk>
    <bk>
      <rc t="2" v="1705"/>
    </bk>
    <bk>
      <rc t="2" v="1706"/>
    </bk>
    <bk>
      <rc t="2" v="1707"/>
    </bk>
    <bk>
      <rc t="2" v="1708"/>
    </bk>
    <bk>
      <rc t="2" v="1709"/>
    </bk>
    <bk>
      <rc t="2" v="1710"/>
    </bk>
    <bk>
      <rc t="2" v="1711"/>
    </bk>
    <bk>
      <rc t="2" v="1712"/>
    </bk>
    <bk>
      <rc t="2" v="1713"/>
    </bk>
    <bk>
      <rc t="2" v="1714"/>
    </bk>
    <bk>
      <rc t="2" v="1715"/>
    </bk>
    <bk>
      <rc t="2" v="1716"/>
    </bk>
    <bk>
      <rc t="2" v="1717"/>
    </bk>
    <bk>
      <rc t="2" v="1718"/>
    </bk>
    <bk>
      <rc t="2" v="1719"/>
    </bk>
    <bk>
      <rc t="2" v="1720"/>
    </bk>
    <bk>
      <rc t="2" v="1721"/>
    </bk>
    <bk>
      <rc t="2" v="1722"/>
    </bk>
    <bk>
      <rc t="2" v="1723"/>
    </bk>
    <bk>
      <rc t="2" v="1724"/>
    </bk>
    <bk>
      <rc t="2" v="1725"/>
    </bk>
    <bk>
      <rc t="2" v="1726"/>
    </bk>
    <bk>
      <rc t="2" v="1727"/>
    </bk>
    <bk>
      <rc t="2" v="1728"/>
    </bk>
    <bk>
      <rc t="2" v="1729"/>
    </bk>
    <bk>
      <rc t="2" v="1730"/>
    </bk>
    <bk>
      <rc t="2" v="1731"/>
    </bk>
    <bk>
      <rc t="2" v="1732"/>
    </bk>
    <bk>
      <rc t="2" v="1733"/>
    </bk>
    <bk>
      <rc t="2" v="1734"/>
    </bk>
    <bk>
      <rc t="2" v="1735"/>
    </bk>
    <bk>
      <rc t="2" v="1736"/>
    </bk>
    <bk>
      <rc t="2" v="1737"/>
    </bk>
    <bk>
      <rc t="2" v="1738"/>
    </bk>
    <bk>
      <rc t="2" v="1739"/>
    </bk>
    <bk>
      <rc t="2" v="1740"/>
    </bk>
    <bk>
      <rc t="2" v="1741"/>
    </bk>
    <bk>
      <rc t="2" v="1742"/>
    </bk>
    <bk>
      <rc t="2" v="1743"/>
    </bk>
    <bk>
      <rc t="2" v="1744"/>
    </bk>
    <bk>
      <rc t="2" v="1745"/>
    </bk>
    <bk>
      <rc t="2" v="1746"/>
    </bk>
    <bk>
      <rc t="2" v="1747"/>
    </bk>
    <bk>
      <rc t="2" v="1748"/>
    </bk>
    <bk>
      <rc t="2" v="1749"/>
    </bk>
    <bk>
      <rc t="2" v="1750"/>
    </bk>
    <bk>
      <rc t="2" v="1751"/>
    </bk>
    <bk>
      <rc t="2" v="1752"/>
    </bk>
    <bk>
      <rc t="2" v="1753"/>
    </bk>
    <bk>
      <rc t="2" v="1754"/>
    </bk>
    <bk>
      <rc t="2" v="1755"/>
    </bk>
    <bk>
      <rc t="2" v="1756"/>
    </bk>
    <bk>
      <rc t="2" v="1757"/>
    </bk>
    <bk>
      <rc t="2" v="1758"/>
    </bk>
    <bk>
      <rc t="2" v="1759"/>
    </bk>
    <bk>
      <rc t="2" v="1760"/>
    </bk>
    <bk>
      <rc t="2" v="1761"/>
    </bk>
    <bk>
      <rc t="2" v="1762"/>
    </bk>
    <bk>
      <rc t="2" v="1763"/>
    </bk>
    <bk>
      <rc t="2" v="1764"/>
    </bk>
    <bk>
      <rc t="2" v="1765"/>
    </bk>
    <bk>
      <rc t="2" v="1766"/>
    </bk>
    <bk>
      <rc t="2" v="1767"/>
    </bk>
    <bk>
      <rc t="2" v="1768"/>
    </bk>
    <bk>
      <rc t="2" v="1769"/>
    </bk>
    <bk>
      <rc t="2" v="1770"/>
    </bk>
    <bk>
      <rc t="2" v="1771"/>
    </bk>
    <bk>
      <rc t="2" v="1772"/>
    </bk>
    <bk>
      <rc t="2" v="1773"/>
    </bk>
    <bk>
      <rc t="2" v="1774"/>
    </bk>
    <bk>
      <rc t="2" v="1775"/>
    </bk>
    <bk>
      <rc t="2" v="1776"/>
    </bk>
    <bk>
      <rc t="2" v="1777"/>
    </bk>
    <bk>
      <rc t="2" v="1778"/>
    </bk>
    <bk>
      <rc t="2" v="1779"/>
    </bk>
    <bk>
      <rc t="2" v="1780"/>
    </bk>
    <bk>
      <rc t="2" v="1781"/>
    </bk>
    <bk>
      <rc t="2" v="1782"/>
    </bk>
    <bk>
      <rc t="2" v="1783"/>
    </bk>
    <bk>
      <rc t="2" v="1784"/>
    </bk>
    <bk>
      <rc t="2" v="1785"/>
    </bk>
    <bk>
      <rc t="2" v="1786"/>
    </bk>
    <bk>
      <rc t="2" v="1787"/>
    </bk>
    <bk>
      <rc t="2" v="1788"/>
    </bk>
    <bk>
      <rc t="2" v="1789"/>
    </bk>
    <bk>
      <rc t="2" v="1790"/>
    </bk>
    <bk>
      <rc t="2" v="1791"/>
    </bk>
    <bk>
      <rc t="2" v="1792"/>
    </bk>
    <bk>
      <rc t="2" v="1793"/>
    </bk>
    <bk>
      <rc t="2" v="1794"/>
    </bk>
    <bk>
      <rc t="2" v="1795"/>
    </bk>
    <bk>
      <rc t="2" v="1796"/>
    </bk>
    <bk>
      <rc t="2" v="1797"/>
    </bk>
    <bk>
      <rc t="2" v="1798"/>
    </bk>
    <bk>
      <rc t="2" v="1799"/>
    </bk>
    <bk>
      <rc t="2" v="1800"/>
    </bk>
    <bk>
      <rc t="2" v="1801"/>
    </bk>
    <bk>
      <rc t="2" v="1802"/>
    </bk>
    <bk>
      <rc t="2" v="1803"/>
    </bk>
    <bk>
      <rc t="2" v="1804"/>
    </bk>
    <bk>
      <rc t="2" v="1805"/>
    </bk>
    <bk>
      <rc t="2" v="1806"/>
    </bk>
    <bk>
      <rc t="2" v="1807"/>
    </bk>
    <bk>
      <rc t="2" v="1808"/>
    </bk>
    <bk>
      <rc t="2" v="1809"/>
    </bk>
    <bk>
      <rc t="2" v="1810"/>
    </bk>
    <bk>
      <rc t="2" v="1811"/>
    </bk>
    <bk>
      <rc t="2" v="1812"/>
    </bk>
    <bk>
      <rc t="2" v="1813"/>
    </bk>
    <bk>
      <rc t="2" v="1814"/>
    </bk>
    <bk>
      <rc t="2" v="1815"/>
    </bk>
    <bk>
      <rc t="2" v="1816"/>
    </bk>
    <bk>
      <rc t="2" v="1817"/>
    </bk>
    <bk>
      <rc t="2" v="1818"/>
    </bk>
    <bk>
      <rc t="2" v="1819"/>
    </bk>
    <bk>
      <rc t="2" v="1820"/>
    </bk>
    <bk>
      <rc t="2" v="1821"/>
    </bk>
    <bk>
      <rc t="2" v="1822"/>
    </bk>
    <bk>
      <rc t="2" v="1823"/>
    </bk>
    <bk>
      <rc t="2" v="1824"/>
    </bk>
    <bk>
      <rc t="2" v="1825"/>
    </bk>
    <bk>
      <rc t="2" v="1826"/>
    </bk>
    <bk>
      <rc t="2" v="1827"/>
    </bk>
    <bk>
      <rc t="2" v="1828"/>
    </bk>
    <bk>
      <rc t="2" v="1829"/>
    </bk>
    <bk>
      <rc t="2" v="1830"/>
    </bk>
    <bk>
      <rc t="2" v="1831"/>
    </bk>
    <bk>
      <rc t="2" v="1832"/>
    </bk>
    <bk>
      <rc t="2" v="1833"/>
    </bk>
    <bk>
      <rc t="2" v="1834"/>
    </bk>
    <bk>
      <rc t="2" v="1835"/>
    </bk>
    <bk>
      <rc t="2" v="1836"/>
    </bk>
    <bk>
      <rc t="2" v="1837"/>
    </bk>
    <bk>
      <rc t="2" v="1838"/>
    </bk>
    <bk>
      <rc t="2" v="1839"/>
    </bk>
    <bk>
      <rc t="2" v="1840"/>
    </bk>
    <bk>
      <rc t="2" v="1841"/>
    </bk>
    <bk>
      <rc t="2" v="1842"/>
    </bk>
    <bk>
      <rc t="2" v="1843"/>
    </bk>
    <bk>
      <rc t="2" v="1844"/>
    </bk>
    <bk>
      <rc t="2" v="1845"/>
    </bk>
    <bk>
      <rc t="2" v="1846"/>
    </bk>
    <bk>
      <rc t="2" v="1847"/>
    </bk>
    <bk>
      <rc t="2" v="1848"/>
    </bk>
    <bk>
      <rc t="2" v="1849"/>
    </bk>
    <bk>
      <rc t="2" v="1850"/>
    </bk>
  </valueMetadata>
</metadata>
</file>

<file path=xl/sharedStrings.xml><?xml version="1.0" encoding="utf-8"?>
<sst xmlns="http://schemas.openxmlformats.org/spreadsheetml/2006/main" count="215" uniqueCount="90">
  <si>
    <t>Am I Diversified? An Exercise for Finance Students</t>
  </si>
  <si>
    <t>Developed by Bill Reese and Russ Robins</t>
  </si>
  <si>
    <t>Today's date</t>
  </si>
  <si>
    <t>Place the ticker symbols for the 30 stocks you select in the cells C11-C40 . This spreadsheet will do the rest.</t>
  </si>
  <si>
    <t xml:space="preserve">Start date  </t>
  </si>
  <si>
    <t>The closing prices for those 30 stocks and for IVV (an ETF that tracks the S&amp;P 500) will be downloaded from Excel's StockHistory function for the most recent 61 months.</t>
  </si>
  <si>
    <t xml:space="preserve">End date  </t>
  </si>
  <si>
    <t>The program will calculate the standard deviations of the monthly returns, build a correlation matrix, and a variance/covariance matrix.</t>
  </si>
  <si>
    <t>The standard deviations for 30 different equally-weighted portfolios will be calculated and graphed against the number of stocks in each portfolio.</t>
  </si>
  <si>
    <t>The solid black line on the graph is the standard deviation of the S&amp;P 500.</t>
  </si>
  <si>
    <t>Ticker Symbol</t>
  </si>
  <si>
    <t>Date</t>
  </si>
  <si>
    <t>_1</t>
  </si>
  <si>
    <t>_2</t>
  </si>
  <si>
    <t>_3</t>
  </si>
  <si>
    <t>_4</t>
  </si>
  <si>
    <t>_5</t>
  </si>
  <si>
    <t>_6</t>
  </si>
  <si>
    <t>_7</t>
  </si>
  <si>
    <t>_8</t>
  </si>
  <si>
    <t>_9</t>
  </si>
  <si>
    <t>_10</t>
  </si>
  <si>
    <t>_11</t>
  </si>
  <si>
    <t>_12</t>
  </si>
  <si>
    <t>_13</t>
  </si>
  <si>
    <t>_14</t>
  </si>
  <si>
    <t>_15</t>
  </si>
  <si>
    <t>_16</t>
  </si>
  <si>
    <t>_17</t>
  </si>
  <si>
    <t>_18</t>
  </si>
  <si>
    <t>_19</t>
  </si>
  <si>
    <t>_20</t>
  </si>
  <si>
    <t>_21</t>
  </si>
  <si>
    <t>_22</t>
  </si>
  <si>
    <t>_23</t>
  </si>
  <si>
    <t>_24</t>
  </si>
  <si>
    <t>_25</t>
  </si>
  <si>
    <t>_26</t>
  </si>
  <si>
    <t>_27</t>
  </si>
  <si>
    <t>_28</t>
  </si>
  <si>
    <t>_29</t>
  </si>
  <si>
    <t>_30</t>
  </si>
  <si>
    <t>Return</t>
  </si>
  <si>
    <t>Close</t>
  </si>
  <si>
    <t>IVV</t>
  </si>
  <si>
    <t>Stand Dev</t>
  </si>
  <si>
    <t>Correlation Matrix</t>
  </si>
  <si>
    <t>Standard Deviations</t>
  </si>
  <si>
    <t>Variance/Covariance Matrix</t>
  </si>
  <si>
    <t>Portfolio Standard Deviation</t>
  </si>
  <si>
    <t>N</t>
  </si>
  <si>
    <t>1/N</t>
  </si>
  <si>
    <t>(1/N)^2</t>
  </si>
  <si>
    <t>Sum</t>
  </si>
  <si>
    <t>Variance</t>
  </si>
  <si>
    <t>Stock</t>
  </si>
  <si>
    <t>Average</t>
  </si>
  <si>
    <t>Portfolio</t>
  </si>
  <si>
    <t>Stocks</t>
  </si>
  <si>
    <t>Ave Corr</t>
  </si>
  <si>
    <t>tsla</t>
  </si>
  <si>
    <t>rcl</t>
  </si>
  <si>
    <t>nvda</t>
  </si>
  <si>
    <t>ual</t>
  </si>
  <si>
    <t>meta</t>
  </si>
  <si>
    <t>f</t>
  </si>
  <si>
    <t>hog</t>
  </si>
  <si>
    <t>pzza</t>
  </si>
  <si>
    <t>ba</t>
  </si>
  <si>
    <t>cmg</t>
  </si>
  <si>
    <t>cat</t>
  </si>
  <si>
    <t>lly</t>
  </si>
  <si>
    <t>googl</t>
  </si>
  <si>
    <t>mmm</t>
  </si>
  <si>
    <t>xom</t>
  </si>
  <si>
    <t>grmn</t>
  </si>
  <si>
    <t>ibm</t>
  </si>
  <si>
    <t>aapl</t>
  </si>
  <si>
    <t>hd</t>
  </si>
  <si>
    <t>jpm</t>
  </si>
  <si>
    <t>pru</t>
  </si>
  <si>
    <t>t</t>
  </si>
  <si>
    <t>kr</t>
  </si>
  <si>
    <t>pfe</t>
  </si>
  <si>
    <t>ma</t>
  </si>
  <si>
    <t>msft</t>
  </si>
  <si>
    <t>yum</t>
  </si>
  <si>
    <t>wmt</t>
  </si>
  <si>
    <t>ko</t>
  </si>
  <si>
    <t>mcd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</si>
</sst>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[$-409]mmm\-yy;@"/>
    <numFmt numFmtId="166" formatCode="0.000000"/>
    <numFmt numFmtId="167" formatCode="_(* #,##0.00000_);_(* \(#,##0.00000\);_(* &quot;-&quot;??_);_(@_)"/>
    <numFmt numFmtId="168" formatCode="0.0000"/>
  </numFmts>
  <fonts count="13" x14ac:knownFonts="1">
    <font>
      <sz val="24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2"/>
      <color theme="1"/>
      <name val="Aptos Narrow"/>
      <family val="2"/>
      <scheme val="minor"/>
    </font>
    <font>
      <sz val="12"/>
      <name val="Arial"/>
      <family val="2"/>
    </font>
    <font>
      <sz val="20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6" fillId="0" borderId="0" xfId="0" applyFont="1"/>
    <xf numFmtId="0" fontId="2" fillId="0" borderId="0" xfId="0" applyFont="1" applyProtection="1">
      <protection locked="0"/>
    </xf>
    <xf numFmtId="0" fontId="6" fillId="0" borderId="1" xfId="0" applyFont="1" applyBorder="1" applyProtection="1">
      <protection locked="0"/>
    </xf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left" indent="2"/>
      <protection locked="0"/>
    </xf>
    <xf numFmtId="164" fontId="2" fillId="0" borderId="3" xfId="0" applyNumberFormat="1" applyFont="1" applyBorder="1" applyAlignment="1">
      <alignment horizontal="center"/>
    </xf>
    <xf numFmtId="0" fontId="2" fillId="0" borderId="4" xfId="0" applyFont="1" applyBorder="1" applyAlignment="1" applyProtection="1">
      <alignment horizontal="left" indent="2"/>
      <protection locked="0"/>
    </xf>
    <xf numFmtId="164" fontId="2" fillId="0" borderId="3" xfId="0" applyNumberFormat="1" applyFont="1" applyBorder="1" applyAlignment="1" applyProtection="1">
      <alignment horizontal="center"/>
      <protection locked="0"/>
    </xf>
    <xf numFmtId="14" fontId="2" fillId="0" borderId="5" xfId="0" applyNumberFormat="1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7" fillId="0" borderId="0" xfId="2" applyFont="1"/>
    <xf numFmtId="0" fontId="8" fillId="0" borderId="0" xfId="0" applyFont="1" applyProtection="1">
      <protection locked="0"/>
    </xf>
    <xf numFmtId="0" fontId="8" fillId="0" borderId="0" xfId="0" applyFo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4" fontId="2" fillId="0" borderId="0" xfId="0" applyNumberFormat="1" applyFont="1"/>
    <xf numFmtId="0" fontId="9" fillId="0" borderId="0" xfId="0" applyFont="1"/>
    <xf numFmtId="0" fontId="7" fillId="0" borderId="0" xfId="2" applyFont="1" applyAlignment="1">
      <alignment horizontal="center"/>
    </xf>
    <xf numFmtId="0" fontId="11" fillId="0" borderId="0" xfId="2" applyFont="1" applyAlignment="1">
      <alignment horizontal="center"/>
    </xf>
    <xf numFmtId="165" fontId="7" fillId="0" borderId="0" xfId="2" applyNumberFormat="1" applyFont="1"/>
    <xf numFmtId="10" fontId="9" fillId="0" borderId="0" xfId="3" applyNumberFormat="1" applyFont="1"/>
    <xf numFmtId="15" fontId="7" fillId="0" borderId="0" xfId="2" applyNumberFormat="1" applyFont="1"/>
    <xf numFmtId="10" fontId="2" fillId="0" borderId="0" xfId="1" applyNumberFormat="1" applyFont="1"/>
    <xf numFmtId="0" fontId="11" fillId="0" borderId="0" xfId="2" applyFont="1"/>
    <xf numFmtId="0" fontId="11" fillId="0" borderId="7" xfId="2" applyFont="1" applyBorder="1" applyAlignment="1">
      <alignment horizontal="center"/>
    </xf>
    <xf numFmtId="0" fontId="11" fillId="0" borderId="8" xfId="2" applyFont="1" applyBorder="1" applyAlignment="1">
      <alignment horizontal="center"/>
    </xf>
    <xf numFmtId="0" fontId="12" fillId="0" borderId="0" xfId="2" applyFont="1" applyAlignment="1">
      <alignment horizontal="center"/>
    </xf>
    <xf numFmtId="10" fontId="7" fillId="0" borderId="0" xfId="2" applyNumberFormat="1" applyFont="1"/>
    <xf numFmtId="166" fontId="11" fillId="0" borderId="0" xfId="2" applyNumberFormat="1" applyFont="1"/>
    <xf numFmtId="0" fontId="11" fillId="0" borderId="9" xfId="2" applyFont="1" applyBorder="1" applyAlignment="1">
      <alignment horizontal="center"/>
    </xf>
    <xf numFmtId="166" fontId="7" fillId="0" borderId="0" xfId="2" applyNumberFormat="1" applyFont="1"/>
    <xf numFmtId="0" fontId="7" fillId="0" borderId="7" xfId="2" applyFont="1" applyBorder="1" applyAlignment="1">
      <alignment horizontal="center"/>
    </xf>
    <xf numFmtId="167" fontId="9" fillId="0" borderId="0" xfId="4" applyNumberFormat="1" applyFont="1"/>
    <xf numFmtId="10" fontId="2" fillId="0" borderId="0" xfId="3" applyNumberFormat="1" applyFont="1"/>
    <xf numFmtId="0" fontId="7" fillId="0" borderId="10" xfId="2" applyFont="1" applyBorder="1" applyAlignment="1">
      <alignment horizontal="center"/>
    </xf>
    <xf numFmtId="0" fontId="11" fillId="0" borderId="7" xfId="2" applyFont="1" applyBorder="1"/>
    <xf numFmtId="168" fontId="7" fillId="0" borderId="0" xfId="2" applyNumberFormat="1" applyFont="1"/>
    <xf numFmtId="0" fontId="7" fillId="0" borderId="0" xfId="2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2" applyFont="1" applyAlignment="1">
      <alignment horizontal="center"/>
    </xf>
    <xf numFmtId="0" fontId="11" fillId="0" borderId="7" xfId="2" applyFont="1" applyBorder="1" applyAlignment="1">
      <alignment horizontal="center"/>
    </xf>
    <xf numFmtId="0" fontId="5" fillId="0" borderId="0" xfId="2"/>
  </cellXfs>
  <cellStyles count="5">
    <cellStyle name="Comma 2" xfId="4" xr:uid="{BFCF4B66-A97B-48A1-A3F8-021AD1ED609E}"/>
    <cellStyle name="Normal" xfId="0" builtinId="0"/>
    <cellStyle name="Normal 3" xfId="2" xr:uid="{84C20D6E-7F70-410A-BB5B-6FE82B85F63D}"/>
    <cellStyle name="Percent" xfId="1" builtinId="5"/>
    <cellStyle name="Percent 2" xfId="3" xr:uid="{9CD01688-1FEA-41B5-AE5A-276A2BFE8C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microsoft.com/office/2017/06/relationships/rdRichValueStructure" Target="richData/rdrichvaluestructure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6" Type="http://schemas.microsoft.com/office/2017/06/relationships/rdSupportingPropertyBagStructure" Target="richData/rdsupportingpropertybag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ichStyles" Target="richData/richStyles.xml"/><Relationship Id="rId10" Type="http://schemas.openxmlformats.org/officeDocument/2006/relationships/sharedStrings" Target="sharedStrings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Array" Target="richData/rdarray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Am I Diversified?</a:t>
            </a:r>
          </a:p>
        </c:rich>
      </c:tx>
      <c:layout>
        <c:manualLayout>
          <c:xMode val="edge"/>
          <c:yMode val="edge"/>
          <c:x val="0.42402688497684693"/>
          <c:y val="8.23874630733919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48177383534254"/>
          <c:y val="0.21039611680339121"/>
          <c:w val="0.80633293749443069"/>
          <c:h val="0.60396039603960394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'Var-Cov Matrix'!$A$38:$A$67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'Var-Cov Matrix'!$F$38:$F$67</c:f>
              <c:numCache>
                <c:formatCode>0.00%</c:formatCode>
                <c:ptCount val="30"/>
                <c:pt idx="0">
                  <c:v>0.17077040558825721</c:v>
                </c:pt>
                <c:pt idx="1">
                  <c:v>0.12793492161122241</c:v>
                </c:pt>
                <c:pt idx="2">
                  <c:v>0.11658220779051136</c:v>
                </c:pt>
                <c:pt idx="3">
                  <c:v>0.10960237695452563</c:v>
                </c:pt>
                <c:pt idx="4">
                  <c:v>9.8963317372399218E-2</c:v>
                </c:pt>
                <c:pt idx="5">
                  <c:v>9.3997320564153816E-2</c:v>
                </c:pt>
                <c:pt idx="6">
                  <c:v>8.8365364578690112E-2</c:v>
                </c:pt>
                <c:pt idx="7">
                  <c:v>8.3477212182512597E-2</c:v>
                </c:pt>
                <c:pt idx="8">
                  <c:v>7.993848860212939E-2</c:v>
                </c:pt>
                <c:pt idx="9">
                  <c:v>7.5814988020271534E-2</c:v>
                </c:pt>
                <c:pt idx="10">
                  <c:v>7.43433125504947E-2</c:v>
                </c:pt>
                <c:pt idx="11">
                  <c:v>6.8187766382773046E-2</c:v>
                </c:pt>
                <c:pt idx="12">
                  <c:v>6.6414915869458441E-2</c:v>
                </c:pt>
                <c:pt idx="13">
                  <c:v>6.4470718193900711E-2</c:v>
                </c:pt>
                <c:pt idx="14">
                  <c:v>6.1374163554556188E-2</c:v>
                </c:pt>
                <c:pt idx="15">
                  <c:v>6.0289914031380121E-2</c:v>
                </c:pt>
                <c:pt idx="16">
                  <c:v>5.8086574981769216E-2</c:v>
                </c:pt>
                <c:pt idx="17">
                  <c:v>5.7261825635907669E-2</c:v>
                </c:pt>
                <c:pt idx="18">
                  <c:v>5.6576816057795853E-2</c:v>
                </c:pt>
                <c:pt idx="19">
                  <c:v>5.6173716685702507E-2</c:v>
                </c:pt>
                <c:pt idx="20">
                  <c:v>5.5677939636927937E-2</c:v>
                </c:pt>
                <c:pt idx="21">
                  <c:v>5.3948511395127643E-2</c:v>
                </c:pt>
                <c:pt idx="22">
                  <c:v>5.2688111051125815E-2</c:v>
                </c:pt>
                <c:pt idx="23">
                  <c:v>5.1119104663750352E-2</c:v>
                </c:pt>
                <c:pt idx="24">
                  <c:v>5.0636441952354193E-2</c:v>
                </c:pt>
                <c:pt idx="25">
                  <c:v>5.0121882922639499E-2</c:v>
                </c:pt>
                <c:pt idx="26">
                  <c:v>4.9327057261263935E-2</c:v>
                </c:pt>
                <c:pt idx="27">
                  <c:v>4.8534651852313225E-2</c:v>
                </c:pt>
                <c:pt idx="28">
                  <c:v>4.7387167208412254E-2</c:v>
                </c:pt>
                <c:pt idx="29">
                  <c:v>4.663994558763588E-2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86F-40AF-9C2C-2424FA4E4C60}"/>
            </c:ext>
          </c:extLst>
        </c:ser>
        <c:ser>
          <c:idx val="1"/>
          <c:order val="1"/>
          <c:tx>
            <c:v>S&amp;P 500 Index Stand. Dev.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'Var-Cov Matrix'!$A$38:$A$67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'Corr. Matrix'!$C$40:$C$69</c:f>
              <c:numCache>
                <c:formatCode>0.00%</c:formatCode>
                <c:ptCount val="30"/>
                <c:pt idx="0">
                  <c:v>4.4221881539358673E-2</c:v>
                </c:pt>
                <c:pt idx="1">
                  <c:v>4.4221881539358673E-2</c:v>
                </c:pt>
                <c:pt idx="2">
                  <c:v>4.4221881539358673E-2</c:v>
                </c:pt>
                <c:pt idx="3">
                  <c:v>4.4221881539358673E-2</c:v>
                </c:pt>
                <c:pt idx="4">
                  <c:v>4.4221881539358673E-2</c:v>
                </c:pt>
                <c:pt idx="5">
                  <c:v>4.4221881539358673E-2</c:v>
                </c:pt>
                <c:pt idx="6">
                  <c:v>4.4221881539358673E-2</c:v>
                </c:pt>
                <c:pt idx="7">
                  <c:v>4.4221881539358673E-2</c:v>
                </c:pt>
                <c:pt idx="8">
                  <c:v>4.4221881539358673E-2</c:v>
                </c:pt>
                <c:pt idx="9">
                  <c:v>4.4221881539358673E-2</c:v>
                </c:pt>
                <c:pt idx="10">
                  <c:v>4.4221881539358673E-2</c:v>
                </c:pt>
                <c:pt idx="11">
                  <c:v>4.4221881539358673E-2</c:v>
                </c:pt>
                <c:pt idx="12">
                  <c:v>4.4221881539358673E-2</c:v>
                </c:pt>
                <c:pt idx="13">
                  <c:v>4.4221881539358673E-2</c:v>
                </c:pt>
                <c:pt idx="14">
                  <c:v>4.4221881539358673E-2</c:v>
                </c:pt>
                <c:pt idx="15">
                  <c:v>4.4221881539358673E-2</c:v>
                </c:pt>
                <c:pt idx="16">
                  <c:v>4.4221881539358673E-2</c:v>
                </c:pt>
                <c:pt idx="17">
                  <c:v>4.4221881539358673E-2</c:v>
                </c:pt>
                <c:pt idx="18">
                  <c:v>4.4221881539358673E-2</c:v>
                </c:pt>
                <c:pt idx="19">
                  <c:v>4.4221881539358673E-2</c:v>
                </c:pt>
                <c:pt idx="20">
                  <c:v>4.4221881539358673E-2</c:v>
                </c:pt>
                <c:pt idx="21">
                  <c:v>4.4221881539358673E-2</c:v>
                </c:pt>
                <c:pt idx="22">
                  <c:v>4.4221881539358673E-2</c:v>
                </c:pt>
                <c:pt idx="23">
                  <c:v>4.4221881539358673E-2</c:v>
                </c:pt>
                <c:pt idx="24">
                  <c:v>4.4221881539358673E-2</c:v>
                </c:pt>
                <c:pt idx="25">
                  <c:v>4.4221881539358673E-2</c:v>
                </c:pt>
                <c:pt idx="26">
                  <c:v>4.4221881539358673E-2</c:v>
                </c:pt>
                <c:pt idx="27">
                  <c:v>4.4221881539358673E-2</c:v>
                </c:pt>
                <c:pt idx="28">
                  <c:v>4.4221881539358673E-2</c:v>
                </c:pt>
                <c:pt idx="29">
                  <c:v>4.4221881539358673E-2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86F-40AF-9C2C-2424FA4E4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0138336"/>
        <c:axId val="1340138896"/>
      </c:scatterChart>
      <c:valAx>
        <c:axId val="1340138336"/>
        <c:scaling>
          <c:orientation val="minMax"/>
          <c:max val="30"/>
          <c:min val="1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Number of Stocks</a:t>
                </a:r>
              </a:p>
            </c:rich>
          </c:tx>
          <c:layout>
            <c:manualLayout>
              <c:xMode val="edge"/>
              <c:yMode val="edge"/>
              <c:x val="0.42085734940700648"/>
              <c:y val="0.89108907411678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0138896"/>
        <c:crosses val="autoZero"/>
        <c:crossBetween val="midCat"/>
        <c:majorUnit val="2"/>
      </c:valAx>
      <c:valAx>
        <c:axId val="13401388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 Deviation</a:t>
                </a:r>
              </a:p>
            </c:rich>
          </c:tx>
          <c:layout>
            <c:manualLayout>
              <c:xMode val="edge"/>
              <c:yMode val="edge"/>
              <c:x val="2.9795171385214564E-2"/>
              <c:y val="0.32425745944936801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013833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152400</xdr:rowOff>
    </xdr:from>
    <xdr:to>
      <xdr:col>12</xdr:col>
      <xdr:colOff>419100</xdr:colOff>
      <xdr:row>30</xdr:row>
      <xdr:rowOff>9525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ECE4DD98-D6A9-4304-B461-4B3E29B075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513" connectionId="1" xr16:uid="{FAB9BAA3-93B8-4CAF-AC75-885D527869B8}" autoFormatId="16" applyNumberFormats="0" applyBorderFormats="0" applyFontFormats="1" applyPatternFormats="1" applyAlignmentFormats="0" applyWidthHeightFormats="0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32">
  <a r="1" c="61">
    <v t="i">0</v>
    <v t="i">30</v>
    <v t="i">61</v>
    <v t="i">92</v>
    <v t="i">120</v>
    <v t="i">151</v>
    <v t="i">181</v>
    <v t="i">212</v>
    <v t="i">242</v>
    <v t="i">273</v>
    <v t="i">304</v>
    <v t="i">334</v>
    <v t="i">365</v>
    <v t="i">395</v>
    <v t="i">426</v>
    <v t="i">457</v>
    <v t="i">485</v>
    <v t="i">516</v>
    <v t="i">546</v>
    <v t="i">577</v>
    <v t="i">607</v>
    <v t="i">638</v>
    <v t="i">669</v>
    <v t="i">699</v>
    <v t="i">730</v>
    <v t="i">760</v>
    <v t="i">791</v>
    <v t="i">822</v>
    <v t="i">850</v>
    <v t="i">881</v>
    <v t="i">911</v>
    <v t="i">942</v>
    <v t="i">972</v>
    <v t="i">1003</v>
    <v t="i">1034</v>
    <v t="i">1064</v>
    <v t="i">1095</v>
    <v t="i">1125</v>
    <v t="i">1156</v>
    <v t="i">1187</v>
    <v t="i">1216</v>
    <v t="i">1247</v>
    <v t="i">1277</v>
    <v t="i">1308</v>
    <v t="i">1338</v>
    <v t="i">1369</v>
    <v t="i">1400</v>
    <v t="i">1430</v>
    <v t="i">1461</v>
    <v t="i">1491</v>
    <v t="i">1522</v>
    <v t="i">1553</v>
    <v t="i">1581</v>
    <v t="i">1612</v>
    <v t="i">1642</v>
    <v t="i">1673</v>
    <v t="i">1703</v>
    <v t="i">1734</v>
    <v t="i">1765</v>
    <v t="i">1795</v>
    <v t="i">1826</v>
  </a>
  <a r="1" c="61">
    <v>21.711400000000001</v>
    <v>21.719000000000001</v>
    <v>21.620799999999999</v>
    <v>21.062000000000001</v>
    <v>22.859300000000001</v>
    <v>23.720199999999998</v>
    <v>22.224900000000002</v>
    <v>21.734100000000002</v>
    <v>21.1828</v>
    <v>20.707000000000001</v>
    <v>20.397400000000001</v>
    <v>19.075800000000001</v>
    <v>17.2408</v>
    <v>18.577400000000001</v>
    <v>19.257100000000001</v>
    <v>17.8902</v>
    <v>17.844899999999999</v>
    <v>18.86</v>
    <v>21.29</v>
    <v>20.96</v>
    <v>18.78</v>
    <v>17.54</v>
    <v>15.34</v>
    <v>18.23</v>
    <v>19.28</v>
    <v>18.41</v>
    <v>20.37</v>
    <v>18.91</v>
    <v>19.25</v>
    <v>17.670000000000002</v>
    <v>15.73</v>
    <v>15.95</v>
    <v>14.52</v>
    <v>14.79</v>
    <v>15.02</v>
    <v>15.4</v>
    <v>16.57</v>
    <v>16.78</v>
    <v>17.690000000000001</v>
    <v>16.93</v>
    <v>17.600000000000001</v>
    <v>16.89</v>
    <v>18.22</v>
    <v>19.11</v>
    <v>19.25</v>
    <v>19.899999999999999</v>
    <v>22</v>
    <v>22.54</v>
    <v>23.16</v>
    <v>22.77</v>
    <v>23.73</v>
    <v>27.41</v>
    <v>28.28</v>
    <v>27.7</v>
    <v>27.8</v>
    <v>28.94</v>
    <v>27.41</v>
    <v>29.29</v>
    <v>28.24</v>
    <v>24.75</v>
    <v>26.02</v>
  </a>
  <a r="1" c="61">
    <v>277.41000000000003</v>
    <v>265.62</v>
    <v>270.82</v>
    <v>258.33999999999997</v>
    <v>305.25</v>
    <v>323.67</v>
    <v>318.91000000000003</v>
    <v>318.89</v>
    <v>328.19</v>
    <v>326.18</v>
    <v>328.26</v>
    <v>371.74</v>
    <v>400.61</v>
    <v>415.01</v>
    <v>366.98</v>
    <v>315.83</v>
    <v>299.33</v>
    <v>300.39999999999998</v>
    <v>302.75</v>
    <v>274.27</v>
    <v>300.94</v>
    <v>288.42</v>
    <v>275.94</v>
    <v>296.13</v>
    <v>323.99</v>
    <v>315.86</v>
    <v>324.17</v>
    <v>296.54000000000002</v>
    <v>295.12</v>
    <v>300.54000000000002</v>
    <v>283.45</v>
    <v>310.64</v>
    <v>333.84</v>
    <v>330.3</v>
    <v>302.16000000000003</v>
    <v>284.69</v>
    <v>313.49</v>
    <v>346.55</v>
    <v>352.96</v>
    <v>380.61</v>
    <v>383.6</v>
    <v>334.22</v>
    <v>334.87</v>
    <v>344.24</v>
    <v>368.16</v>
    <v>368.5</v>
    <v>405.2</v>
    <v>393.75</v>
    <v>429.13</v>
    <v>388.99</v>
    <v>411.98</v>
    <v>396.6</v>
    <v>366.49</v>
    <v>360.49</v>
    <v>368.29</v>
    <v>366.64</v>
    <v>367.51</v>
    <v>406.77</v>
    <v>405.19</v>
    <v>379.59</v>
    <v>356.92</v>
  </a>
  <a r="1" c="61">
    <v>45.05</v>
    <v>43.25</v>
    <v>39.99</v>
    <v>52.68</v>
    <v>57.54</v>
    <v>54.4</v>
    <v>58.35</v>
    <v>52.29</v>
    <v>46.72</v>
    <v>46.51</v>
    <v>47.57</v>
    <v>46.14</v>
    <v>42.26</v>
    <v>43.78</v>
    <v>42.88</v>
    <v>44.4</v>
    <v>46.36</v>
    <v>50.5</v>
    <v>47.63</v>
    <v>35.42</v>
    <v>36.75</v>
    <v>35.01</v>
    <v>32.53</v>
    <v>43.08</v>
    <v>44.17</v>
    <v>37.700000000000003</v>
    <v>48.96</v>
    <v>51.96</v>
    <v>44.25</v>
    <v>43.8</v>
    <v>47.465000000000003</v>
    <v>54.87</v>
    <v>54.31</v>
    <v>49.81</v>
    <v>42.3</v>
    <v>35.01</v>
    <v>39.4</v>
    <v>41.26</v>
    <v>41.38</v>
    <v>45.49</v>
    <v>47.88</v>
    <v>51.46</v>
    <v>52.99</v>
    <v>48.66</v>
    <v>45.42</v>
    <v>44.04</v>
    <v>57.06</v>
    <v>78.260000000000005</v>
    <v>96.83</v>
    <v>97.1</v>
    <v>105.84</v>
    <v>93.81</v>
    <v>69.05</v>
    <v>68.819999999999993</v>
    <v>79.444999999999993</v>
    <v>79.63</v>
    <v>88.31</v>
    <v>105</v>
    <v>96.5</v>
    <v>94.04</v>
    <v>101.96</v>
  </a>
  <a r="1" c="61">
    <v>38.31</v>
    <v>36.81</v>
    <v>35.9</v>
    <v>33.49</v>
    <v>36.229999999999997</v>
    <v>38.65</v>
    <v>38.729999999999997</v>
    <v>39.159999999999997</v>
    <v>42.81</v>
    <v>46.07</v>
    <v>43.01</v>
    <v>43.74</v>
    <v>53.73</v>
    <v>59.05</v>
    <v>52.69</v>
    <v>46.94</v>
    <v>51.77</v>
    <v>49.07</v>
    <v>53.04</v>
    <v>52.43</v>
    <v>50.51</v>
    <v>45.23</v>
    <v>43.76</v>
    <v>46.55</v>
    <v>50.13</v>
    <v>51.24</v>
    <v>44.16</v>
    <v>40.57</v>
    <v>40.799999999999997</v>
    <v>38.89</v>
    <v>38.020000000000003</v>
    <v>36.68</v>
    <v>36.06</v>
    <v>35.380000000000003</v>
    <v>33.17</v>
    <v>30.56</v>
    <v>30.47</v>
    <v>28.79</v>
    <v>27.08</v>
    <v>26.56</v>
    <v>27.75</v>
    <v>25.62</v>
    <v>28.66</v>
    <v>27.98</v>
    <v>30.54</v>
    <v>29.01</v>
    <v>28.94</v>
    <v>28.3</v>
    <v>26.21</v>
    <v>26.53</v>
    <v>26.52</v>
    <v>26.43</v>
    <v>25.34</v>
    <v>24.41</v>
    <v>23.49</v>
    <v>24.24</v>
    <v>23.29</v>
    <v>24.76</v>
    <v>25.48</v>
    <v>24.65</v>
    <v>25.74</v>
  </a>
  <a r="1" c="61">
    <v>51.6</v>
    <v>54.84</v>
    <v>48.15</v>
    <v>48.99</v>
    <v>52.71</v>
    <v>53.98</v>
    <v>55.29</v>
    <v>54.11</v>
    <v>57.03</v>
    <v>56.31</v>
    <v>52.47</v>
    <v>56.37</v>
    <v>52.45</v>
    <v>59.21</v>
    <v>61.01</v>
    <v>62.24</v>
    <v>62</v>
    <v>64.61</v>
    <v>63.38</v>
    <v>62.91</v>
    <v>64.17</v>
    <v>61.71</v>
    <v>56.02</v>
    <v>59.85</v>
    <v>63.61</v>
    <v>63.61</v>
    <v>61.32</v>
    <v>59.51</v>
    <v>62.03</v>
    <v>64.150000000000006</v>
    <v>59.66</v>
    <v>60.22</v>
    <v>61.93</v>
    <v>59.83</v>
    <v>55.98</v>
    <v>56.49</v>
    <v>58.44</v>
    <v>58.93</v>
    <v>59.49</v>
    <v>60.02</v>
    <v>61.18</v>
    <v>61.77</v>
    <v>62.93</v>
    <v>63.65</v>
    <v>66.739999999999995</v>
    <v>72.47</v>
    <v>71.86</v>
    <v>65.31</v>
    <v>64.08</v>
    <v>62.26</v>
    <v>63.48</v>
    <v>71.209999999999994</v>
    <v>71.62</v>
    <v>72.55</v>
    <v>72.099999999999994</v>
    <v>70.75</v>
    <v>67.89</v>
    <v>68.989999999999995</v>
    <v>66.319999999999993</v>
    <v>68.900000000000006</v>
    <v>73.12</v>
  </a>
  <a r="1" c="61">
    <v>8.9364000000000008</v>
    <v>8.6509</v>
    <v>10.3634</v>
    <v>11.514900000000001</v>
    <v>12.0562</v>
    <v>11.3574</v>
    <v>14.3001</v>
    <v>14.6249</v>
    <v>13.7293</v>
    <v>12.8239</v>
    <v>13.936</v>
    <v>16.809799999999999</v>
    <v>18.886399999999998</v>
    <v>20.441400000000002</v>
    <v>19.978899999999999</v>
    <v>17.2822</v>
    <v>16.642499999999998</v>
    <v>13.936</v>
    <v>13.4636</v>
    <v>10.953900000000001</v>
    <v>14.457599999999999</v>
    <v>14.998900000000001</v>
    <v>11.0228</v>
    <v>13.1585</v>
    <v>13.680099999999999</v>
    <v>11.446</v>
    <v>13.2963</v>
    <v>11.879099999999999</v>
    <v>12.400700000000001</v>
    <v>11.6921</v>
    <v>11.8102</v>
    <v>14.890599999999999</v>
    <v>13.000999999999999</v>
    <v>11.9381</v>
    <v>12.2235</v>
    <v>9.5958000000000006</v>
    <v>10.0977</v>
    <v>11.997199999999999</v>
    <v>11.534599999999999</v>
    <v>12.2432</v>
    <v>13.069900000000001</v>
    <v>11.957800000000001</v>
    <v>11.9381</v>
    <v>12.3416</v>
    <v>10.6488</v>
    <v>11.013</v>
    <v>10.392899999999999</v>
    <v>10.1272</v>
    <v>10.953900000000001</v>
    <v>9.7433999999999994</v>
    <v>9.9205000000000005</v>
    <v>9.5500000000000007</v>
    <v>10.029999999999999</v>
    <v>10.01</v>
    <v>10.38</v>
    <v>10.85</v>
    <v>11.07</v>
    <v>11.77</v>
    <v>11.96</v>
    <v>13.13</v>
    <v>13.28</v>
  </a>
  <a r="1" c="61">
    <v>40.29</v>
    <v>36.700000000000003</v>
    <v>40.090000000000003</v>
    <v>35.67</v>
    <v>40.1</v>
    <v>48.37</v>
    <v>48.47</v>
    <v>45.82</v>
    <v>39.619999999999997</v>
    <v>39.53</v>
    <v>36.61</v>
    <v>36.49</v>
    <v>36.630000000000003</v>
    <v>37.69</v>
    <v>34.57</v>
    <v>41.3</v>
    <v>39.4</v>
    <v>36.450000000000003</v>
    <v>35.18</v>
    <v>31.66</v>
    <v>37.81</v>
    <v>38.57</v>
    <v>34.880000000000003</v>
    <v>43</v>
    <v>47.13</v>
    <v>41.6</v>
    <v>46.03</v>
    <v>47.55</v>
    <v>37.97</v>
    <v>37.1</v>
    <v>31.11</v>
    <v>35.21</v>
    <v>38.61</v>
    <v>33.75</v>
    <v>33.06</v>
    <v>26.85</v>
    <v>29.99</v>
    <v>36.840000000000003</v>
    <v>32.450000000000003</v>
    <v>36.270000000000003</v>
    <v>43.74</v>
    <v>34.39</v>
    <v>35.880000000000003</v>
    <v>33.54</v>
    <v>37.5</v>
    <v>37.44</v>
    <v>38.53</v>
    <v>31.95</v>
    <v>33.630000000000003</v>
    <v>30.13</v>
    <v>27.06</v>
    <v>25.76</v>
    <v>25.25</v>
    <v>22.42</v>
    <v>24.21</v>
    <v>23.6</v>
    <v>24.33</v>
    <v>29.12</v>
    <v>27.9</v>
    <v>26.98</v>
    <v>24.49</v>
  </a>
  <a r="1" c="61">
    <v>214.07</v>
    <v>222.42</v>
    <v>231.96</v>
    <v>232.38</v>
    <v>235.77</v>
    <v>252.18</v>
    <v>249.68</v>
    <v>270.89999999999998</v>
    <v>284.91000000000003</v>
    <v>301.88</v>
    <v>281.92</v>
    <v>331.62</v>
    <v>330.59</v>
    <v>336.32</v>
    <v>310.98</v>
    <v>298.79000000000002</v>
    <v>308.31</v>
    <v>277.52</v>
    <v>271.87</v>
    <v>256.83</v>
    <v>280.74</v>
    <v>261.47000000000003</v>
    <v>232.9</v>
    <v>232.13</v>
    <v>255.14</v>
    <v>239.82</v>
    <v>247.81</v>
    <v>249.42</v>
    <v>288.3</v>
    <v>307.26</v>
    <v>328.39</v>
    <v>340.54</v>
    <v>335.92</v>
    <v>327.76</v>
    <v>315.75</v>
    <v>338.11</v>
    <v>378.91</v>
    <v>376.04</v>
    <v>397.58</v>
    <v>413.64</v>
    <v>420.72</v>
    <v>389.33</v>
    <v>415.13</v>
    <v>446.95</v>
    <v>418.35</v>
    <v>417.14</v>
    <v>430.3</v>
    <v>406.35</v>
    <v>423.46</v>
    <v>421.5</v>
    <v>415.06</v>
    <v>396.99</v>
    <v>375.39</v>
    <v>395.26</v>
    <v>460.36</v>
    <v>497.41</v>
    <v>533.5</v>
    <v>506.69</v>
    <v>517.95000000000005</v>
    <v>517.80999999999995</v>
    <v>492.01</v>
  </a>
  <a r="1" c="61">
    <v>25.788599999999999</v>
    <v>27.734200000000001</v>
    <v>29.6</v>
    <v>28.84</v>
    <v>28.416399999999999</v>
    <v>29.840599999999998</v>
    <v>27.439599999999999</v>
    <v>31.006799999999998</v>
    <v>37.268799999999999</v>
    <v>38.066600000000001</v>
    <v>36.3504</v>
    <v>35.580599999999997</v>
    <v>32.868200000000002</v>
    <v>34.965000000000003</v>
    <v>29.711600000000001</v>
    <v>30.466999999999999</v>
    <v>31.640599999999999</v>
    <v>29.112200000000001</v>
    <v>28.050999999999998</v>
    <v>26.145199999999999</v>
    <v>31.284400000000002</v>
    <v>31.936</v>
    <v>30.055199999999999</v>
    <v>29.9666</v>
    <v>32.539200000000001</v>
    <v>27.7498</v>
    <v>32.927599999999998</v>
    <v>29.8216</v>
    <v>34.165799999999997</v>
    <v>41.352400000000003</v>
    <v>41.529800000000002</v>
    <v>42.78</v>
    <v>39.245600000000003</v>
    <v>38.532800000000002</v>
    <v>36.636600000000001</v>
    <v>38.844000000000001</v>
    <v>44.045000000000002</v>
    <v>45.739199999999997</v>
    <v>48.175400000000003</v>
    <v>53.775399999999998</v>
    <v>58.135399999999997</v>
    <v>63.192</v>
    <v>62.590400000000002</v>
    <v>62.65</v>
    <v>54.32</v>
    <v>56.08</v>
    <v>57.62</v>
    <v>55.77</v>
    <v>61.52</v>
    <v>60.3</v>
    <v>58.35</v>
    <v>53.97</v>
    <v>50.21</v>
    <v>50.52</v>
    <v>50.08</v>
    <v>56.15</v>
    <v>42.88</v>
    <v>42.14</v>
    <v>39.19</v>
    <v>31.69</v>
    <v>34.520000000000003</v>
  </a>
  <a r="1" c="61">
    <v>87.72</v>
    <v>87.632000000000005</v>
    <v>91.367999999999995</v>
    <v>101.0955</v>
    <v>103.126</v>
    <v>117.675</v>
    <v>117.8425</v>
    <v>122.0895</v>
    <v>134.72649999999999</v>
    <v>144.69749999999999</v>
    <v>133.67599999999999</v>
    <v>148.04599999999999</v>
    <v>141.89750000000001</v>
    <v>144.852</v>
    <v>135.30350000000001</v>
    <v>135.05699999999999</v>
    <v>139.0675</v>
    <v>114.1095</v>
    <v>113.762</v>
    <v>108.96299999999999</v>
    <v>116.32</v>
    <v>108.22</v>
    <v>95.65</v>
    <v>94.51</v>
    <v>100.99</v>
    <v>88.23</v>
    <v>98.84</v>
    <v>90.06</v>
    <v>103.73</v>
    <v>107.34</v>
    <v>122.87</v>
    <v>119.7</v>
    <v>132.72</v>
    <v>136.16999999999999</v>
    <v>130.86000000000001</v>
    <v>124.08</v>
    <v>132.53</v>
    <v>139.69</v>
    <v>140.1</v>
    <v>138.46</v>
    <v>150.93</v>
    <v>162.78</v>
    <v>172.5</v>
    <v>182.15</v>
    <v>171.54</v>
    <v>163.38</v>
    <v>165.85</v>
    <v>171.11</v>
    <v>168.95</v>
    <v>189.3</v>
    <v>204.02</v>
    <v>170.28</v>
    <v>154.63999999999999</v>
    <v>158.80000000000001</v>
    <v>171.74</v>
    <v>176.23</v>
    <v>191.9</v>
    <v>212.91</v>
    <v>243.1</v>
    <v>281.19</v>
    <v>320.18</v>
  </a>
  <a r="1" c="61">
    <v>276.97000000000003</v>
    <v>273.16000000000003</v>
    <v>258.33</v>
    <v>257.62</v>
    <v>294.52999999999997</v>
    <v>325.08</v>
    <v>328.73</v>
    <v>347.71</v>
    <v>356.3</v>
    <v>379.38</v>
    <v>339.39</v>
    <v>323.57</v>
    <v>324.45999999999998</v>
    <v>336.35</v>
    <v>313.26</v>
    <v>211.03</v>
    <v>222.36</v>
    <v>200.47</v>
    <v>193.64</v>
    <v>161.25</v>
    <v>159.1</v>
    <v>162.93</v>
    <v>135.68</v>
    <v>93.16</v>
    <v>118.1</v>
    <v>120.34</v>
    <v>148.97</v>
    <v>174.94</v>
    <v>211.94</v>
    <v>240.32</v>
    <v>264.72000000000003</v>
    <v>286.98</v>
    <v>318.60000000000002</v>
    <v>295.89</v>
    <v>300.20999999999998</v>
    <v>301.27</v>
    <v>327.14999999999998</v>
    <v>353.96</v>
    <v>390.14</v>
    <v>490.13</v>
    <v>485.58</v>
    <v>430.17</v>
    <v>466.83</v>
    <v>504.22</v>
    <v>474.83</v>
    <v>521.30999999999995</v>
    <v>572.44000000000005</v>
    <v>567.58000000000004</v>
    <v>574.32000000000005</v>
    <v>585.51</v>
    <v>689.18</v>
    <v>668.2</v>
    <v>576.36</v>
    <v>549</v>
    <v>647.49</v>
    <v>738.09</v>
    <v>773.44</v>
    <v>738.7</v>
    <v>734.38</v>
    <v>648.35</v>
    <v>647.95000000000005</v>
  </a>
  <a r="1" c="61">
    <v>336.51</v>
    <v>356.94</v>
    <v>316.29000000000002</v>
    <v>353.85</v>
    <v>356.05</v>
    <v>382.06</v>
    <v>360.58</v>
    <v>365.09</v>
    <v>385.94</v>
    <v>346.23</v>
    <v>347.68</v>
    <v>335.52</v>
    <v>314.92</v>
    <v>359.32</v>
    <v>386.38</v>
    <v>360.82</v>
    <v>357.38</v>
    <v>363.38</v>
    <v>357.87</v>
    <v>315.48</v>
    <v>353.79</v>
    <v>324.37</v>
    <v>284.33999999999997</v>
    <v>328.18</v>
    <v>356.4</v>
    <v>347.73</v>
    <v>370.6</v>
    <v>355.29</v>
    <v>363.41</v>
    <v>380.03</v>
    <v>365.02</v>
    <v>393.3</v>
    <v>394.28</v>
    <v>412.64</v>
    <v>395.91</v>
    <v>376.35</v>
    <v>413.83</v>
    <v>426.51</v>
    <v>449.23</v>
    <v>474.76</v>
    <v>481.57</v>
    <v>451.2</v>
    <v>447.07</v>
    <v>441.16</v>
    <v>463.71</v>
    <v>483.34</v>
    <v>493.8</v>
    <v>499.59</v>
    <v>532.94000000000005</v>
    <v>526.57000000000005</v>
    <v>555.42999999999995</v>
    <v>576.30999999999995</v>
    <v>548.12</v>
    <v>548.05999999999995</v>
    <v>585.6</v>
    <v>561.94000000000005</v>
    <v>566.47</v>
    <v>595.29</v>
    <v>568.80999999999995</v>
    <v>551.99</v>
    <v>550.53</v>
  </a>
  <a r="1" c="61">
    <v>78.81</v>
    <v>74.69</v>
    <v>65</v>
    <v>93.27</v>
    <v>85.61</v>
    <v>86.95</v>
    <v>93.27</v>
    <v>85.28</v>
    <v>76.87</v>
    <v>82.73</v>
    <v>88.95</v>
    <v>84.43</v>
    <v>69.819999999999993</v>
    <v>76.900000000000006</v>
    <v>77.81</v>
    <v>80.72</v>
    <v>83.78</v>
    <v>77.73</v>
    <v>58.07</v>
    <v>34.909999999999997</v>
    <v>38.71</v>
    <v>40.85</v>
    <v>37.9</v>
    <v>53.38</v>
    <v>59.93</v>
    <v>49.43</v>
    <v>64.94</v>
    <v>70.64</v>
    <v>65.3</v>
    <v>65.430000000000007</v>
    <v>80.97</v>
    <v>103.74</v>
    <v>109.11</v>
    <v>98.94</v>
    <v>92.14</v>
    <v>84.73</v>
    <v>107.46</v>
    <v>129.49</v>
    <v>127.5</v>
    <v>123.35</v>
    <v>139.01</v>
    <v>139.63</v>
    <v>147.68</v>
    <v>159.43</v>
    <v>156.72</v>
    <v>164.62</v>
    <v>177.36</v>
    <v>206.35</v>
    <v>244.06</v>
    <v>230.69</v>
    <v>266.60000000000002</v>
    <v>246.1</v>
    <v>205.44</v>
    <v>214.91</v>
    <v>256.97000000000003</v>
    <v>313.14</v>
    <v>317.87</v>
    <v>363.22</v>
    <v>323.58</v>
    <v>286.83</v>
    <v>266.25</v>
  </a>
  <a r="1" c="61">
    <v>144.4161</v>
    <v>146.13839999999999</v>
    <v>146.86580000000001</v>
    <v>146.36420000000001</v>
    <v>161.0959</v>
    <v>164.82480000000001</v>
    <v>169.7577</v>
    <v>166.07060000000001</v>
    <v>165.49369999999999</v>
    <v>162.81819999999999</v>
    <v>146.6652</v>
    <v>149.39080000000001</v>
    <v>142.167</v>
    <v>148.5129</v>
    <v>138.80600000000001</v>
    <v>124.2833</v>
    <v>124.4756</v>
    <v>120.5795</v>
    <v>124.8184</v>
    <v>108.19710000000001</v>
    <v>119.76009999999999</v>
    <v>103.9665</v>
    <v>92.386799999999994</v>
    <v>105.1705</v>
    <v>105.321</v>
    <v>100.2627</v>
    <v>96.216099999999997</v>
    <v>90.079300000000003</v>
    <v>87.880399999999995</v>
    <v>88.808400000000006</v>
    <v>78.014600000000002</v>
    <v>83.683199999999999</v>
    <v>93.222899999999996</v>
    <v>89.184700000000007</v>
    <v>78.273799999999994</v>
    <v>76.041499999999999</v>
    <v>82.830399999999997</v>
    <v>91.400300000000001</v>
    <v>78.884100000000004</v>
    <v>77.0197</v>
    <v>88.683000000000007</v>
    <v>96.51</v>
    <v>100.14</v>
    <v>102.19</v>
    <v>127.55</v>
    <v>134.69</v>
    <v>136.69999999999999</v>
    <v>128.47</v>
    <v>133.53</v>
    <v>129.09</v>
    <v>152.19999999999999</v>
    <v>155.12</v>
    <v>146.86000000000001</v>
    <v>138.91</v>
    <v>148.35</v>
    <v>152.24</v>
    <v>149.22</v>
    <v>155.53</v>
    <v>155.18</v>
    <v>166.5</v>
    <v>172.05</v>
  </a>
  <a r="1" c="61">
    <v>363.32</v>
    <v>375.39</v>
    <v>371.52</v>
    <v>381.77</v>
    <v>397.82</v>
    <v>418.88</v>
    <v>421.65</v>
    <v>429.92</v>
    <v>440.4</v>
    <v>453.71</v>
    <v>430.82</v>
    <v>460.99</v>
    <v>457.63</v>
    <v>476.99</v>
    <v>451.77</v>
    <v>438.72</v>
    <v>453.69</v>
    <v>413.56</v>
    <v>414.87</v>
    <v>379.15</v>
    <v>414.28</v>
    <v>397.18</v>
    <v>358.65</v>
    <v>387.79</v>
    <v>409.32</v>
    <v>384.21</v>
    <v>408.31</v>
    <v>397.97</v>
    <v>411.08</v>
    <v>417.66</v>
    <v>419.43</v>
    <v>445.71</v>
    <v>460.18</v>
    <v>452.69</v>
    <v>429.43</v>
    <v>419.94</v>
    <v>458.42</v>
    <v>477.63</v>
    <v>485.2</v>
    <v>510.45</v>
    <v>525.73</v>
    <v>504.44</v>
    <v>529.96</v>
    <v>547.23</v>
    <v>553.32000000000005</v>
    <v>566.75</v>
    <v>576.82000000000005</v>
    <v>571.24</v>
    <v>605.07000000000005</v>
    <v>588.67999999999995</v>
    <v>604.66</v>
    <v>597.04</v>
    <v>561.9</v>
    <v>557.96</v>
    <v>592.15</v>
    <v>620.9</v>
    <v>634.9</v>
    <v>648.32000000000005</v>
    <v>669.3</v>
    <v>685.23</v>
    <v>686.88</v>
  </a>
  <a r="1" c="61">
    <v>13.4015</v>
    <v>13.055</v>
    <v>12.989800000000001</v>
    <v>13.714499999999999</v>
    <v>13.3483</v>
    <v>15.009499999999999</v>
    <v>16.244499999999999</v>
    <v>20.002500000000001</v>
    <v>19.498999999999999</v>
    <v>22.385000000000002</v>
    <v>20.716000000000001</v>
    <v>25.567</v>
    <v>32.676000000000002</v>
    <v>29.411000000000001</v>
    <v>24.486000000000001</v>
    <v>24.385000000000002</v>
    <v>27.286000000000001</v>
    <v>18.547000000000001</v>
    <v>18.672000000000001</v>
    <v>15.159000000000001</v>
    <v>18.163</v>
    <v>15.093999999999999</v>
    <v>12.138999999999999</v>
    <v>13.497</v>
    <v>16.922999999999998</v>
    <v>14.614000000000001</v>
    <v>19.536999999999999</v>
    <v>23.216000000000001</v>
    <v>27.777000000000001</v>
    <v>27.748999999999999</v>
    <v>37.834000000000003</v>
    <v>42.302</v>
    <v>46.728999999999999</v>
    <v>49.354999999999997</v>
    <v>43.499000000000002</v>
    <v>40.78</v>
    <v>46.77</v>
    <v>49.521999999999998</v>
    <v>61.527000000000001</v>
    <v>79.111999999999995</v>
    <v>90.355999999999995</v>
    <v>86.402000000000001</v>
    <v>109.633</v>
    <v>123.54</v>
    <v>117.02</v>
    <v>119.37</v>
    <v>121.44</v>
    <v>132.76</v>
    <v>138.25</v>
    <v>134.29</v>
    <v>120.07</v>
    <v>124.92</v>
    <v>108.38</v>
    <v>108.92</v>
    <v>135.13</v>
    <v>157.99</v>
    <v>177.87</v>
    <v>174.18</v>
    <v>186.58</v>
    <v>202.49</v>
    <v>177</v>
  </a>
  <a r="1" c="61">
    <v>217.44</v>
    <v>214.58</v>
    <v>207.84</v>
    <v>206.14</v>
    <v>224.14</v>
    <v>236.08</v>
    <v>233.89</v>
    <v>230.99</v>
    <v>242.71</v>
    <v>237.46</v>
    <v>241.11</v>
    <v>245.55</v>
    <v>244.6</v>
    <v>268.07</v>
    <v>259.45</v>
    <v>244.77</v>
    <v>247.28</v>
    <v>249.16</v>
    <v>252.21</v>
    <v>246.88</v>
    <v>263.37</v>
    <v>252.28</v>
    <v>230.74</v>
    <v>272.66000000000003</v>
    <v>272.79000000000002</v>
    <v>263.52999999999997</v>
    <v>267.39999999999998</v>
    <v>263.91000000000003</v>
    <v>279.61</v>
    <v>295.75</v>
    <v>285.11</v>
    <v>298.41000000000003</v>
    <v>293.2</v>
    <v>281.14999999999998</v>
    <v>263.44</v>
    <v>262.17</v>
    <v>281.83999999999997</v>
    <v>296.51</v>
    <v>292.72000000000003</v>
    <v>292.27999999999997</v>
    <v>281.95</v>
    <v>273.04000000000002</v>
    <v>258.89</v>
    <v>254.84</v>
    <v>265.39999999999998</v>
    <v>288.66000000000003</v>
    <v>304.51</v>
    <v>292.11</v>
    <v>296.01</v>
    <v>289.89</v>
    <v>288.7</v>
    <v>308.33</v>
    <v>312.37</v>
    <v>319.64999999999998</v>
    <v>313.85000000000002</v>
    <v>292.17</v>
    <v>300.07</v>
    <v>313.54000000000002</v>
    <v>303.89</v>
    <v>298.43</v>
    <v>311.82</v>
  </a>
  <a r="1" c="61">
    <v>38.130000000000003</v>
    <v>41.22</v>
    <v>44.84</v>
    <v>54.37</v>
    <v>55.83</v>
    <v>57.24</v>
    <v>58.37</v>
    <v>63.08</v>
    <v>57.57</v>
    <v>54.52</v>
    <v>58.82</v>
    <v>64.47</v>
    <v>59.84</v>
    <v>61.19</v>
    <v>75.959999999999994</v>
    <v>78.42</v>
    <v>82.59</v>
    <v>85.25</v>
    <v>96</v>
    <v>85.64</v>
    <v>96.93</v>
    <v>95.59</v>
    <v>87.31</v>
    <v>110.81</v>
    <v>111.34</v>
    <v>110.3</v>
    <v>116.01</v>
    <v>109.91</v>
    <v>109.66</v>
    <v>118.34</v>
    <v>102.18</v>
    <v>107.25</v>
    <v>107.24</v>
    <v>111.19</v>
    <v>117.58</v>
    <v>105.85</v>
    <v>102.74</v>
    <v>99.98</v>
    <v>102.81</v>
    <v>104.52</v>
    <v>116.24</v>
    <v>118.27</v>
    <v>117.26</v>
    <v>115.12</v>
    <v>118.59</v>
    <v>117.94</v>
    <v>117.22</v>
    <v>116.78</v>
    <v>117.96</v>
    <v>107.57</v>
    <v>106.83</v>
    <v>111.33</v>
    <v>118.93</v>
    <v>105.63</v>
    <v>102.3</v>
    <v>107.8</v>
    <v>111.64</v>
    <v>114.29</v>
    <v>112.75</v>
    <v>114.36</v>
    <v>115.92</v>
  </a>
  <a r="1" c="61">
    <v>119.05</v>
    <v>132.69</v>
    <v>131.96</v>
    <v>121.26</v>
    <v>122.15</v>
    <v>131.46</v>
    <v>124.61</v>
    <v>136.96</v>
    <v>145.86000000000001</v>
    <v>151.83000000000001</v>
    <v>141.5</v>
    <v>149.80000000000001</v>
    <v>165.3</v>
    <v>177.57</v>
    <v>174.78</v>
    <v>165.12</v>
    <v>174.61</v>
    <v>157.65</v>
    <v>148.84</v>
    <v>136.72</v>
    <v>162.51</v>
    <v>157.22</v>
    <v>138.19999999999999</v>
    <v>153.34</v>
    <v>148.03</v>
    <v>129.93</v>
    <v>144.29</v>
    <v>147.41</v>
    <v>164.9</v>
    <v>169.68</v>
    <v>177.25</v>
    <v>193.97</v>
    <v>196.45</v>
    <v>187.87</v>
    <v>171.21</v>
    <v>170.77</v>
    <v>189.95</v>
    <v>192.53</v>
    <v>184.4</v>
    <v>180.75</v>
    <v>171.48</v>
    <v>170.33</v>
    <v>192.25</v>
    <v>210.62</v>
    <v>222.08</v>
    <v>229</v>
    <v>233</v>
    <v>225.91</v>
    <v>237.33</v>
    <v>250.42</v>
    <v>236</v>
    <v>241.84</v>
    <v>222.13</v>
    <v>212.5</v>
    <v>200.85</v>
    <v>205.17</v>
    <v>207.57</v>
    <v>232.14</v>
    <v>254.63</v>
    <v>270.37</v>
    <v>278.85000000000002</v>
  </a>
  <a r="1" c="61">
    <v>145.65</v>
    <v>168.84</v>
    <v>207.97</v>
    <v>204.89</v>
    <v>186.82</v>
    <v>182.77</v>
    <v>199.74</v>
    <v>229.52</v>
    <v>243.5</v>
    <v>258.29000000000002</v>
    <v>231.05</v>
    <v>254.76</v>
    <v>248.04</v>
    <v>276.22000000000003</v>
    <v>245.39</v>
    <v>249.95</v>
    <v>286.37</v>
    <v>292.13</v>
    <v>313.44</v>
    <v>324.23</v>
    <v>329.69</v>
    <v>301.23</v>
    <v>323.35000000000002</v>
    <v>362.09</v>
    <v>371.08</v>
    <v>365.84</v>
    <v>344.15</v>
    <v>311.22000000000003</v>
    <v>343.42</v>
    <v>395.86</v>
    <v>429.46</v>
    <v>468.98</v>
    <v>454.55</v>
    <v>554.20000000000005</v>
    <v>537.13</v>
    <v>553.92999999999995</v>
    <v>591.04</v>
    <v>582.91999999999996</v>
    <v>645.61</v>
    <v>753.68</v>
    <v>777.96</v>
    <v>781.1</v>
    <v>820.34</v>
    <v>905.38</v>
    <v>804.27</v>
    <v>960.02</v>
    <v>885.94</v>
    <v>829.74</v>
    <v>795.35</v>
    <v>772</v>
    <v>811.08</v>
    <v>920.63</v>
    <v>825.91</v>
    <v>898.95</v>
    <v>737.67</v>
    <v>779.53</v>
    <v>740.07</v>
    <v>732.58</v>
    <v>763</v>
    <v>862.86</v>
    <v>1075.47</v>
  </a>
  <a r="1" c="61">
    <v>117.88</v>
    <v>127.07</v>
    <v>128.66999999999999</v>
    <v>147.16999999999999</v>
    <v>152.22999999999999</v>
    <v>153.81</v>
    <v>164.24</v>
    <v>155.54</v>
    <v>151.78</v>
    <v>159.94999999999999</v>
    <v>163.69</v>
    <v>169.89</v>
    <v>158.83000000000001</v>
    <v>158.35</v>
    <v>148.6</v>
    <v>141.80000000000001</v>
    <v>136.32</v>
    <v>119.36</v>
    <v>132.22999999999999</v>
    <v>112.61</v>
    <v>115.36</v>
    <v>113.73</v>
    <v>104.5</v>
    <v>125.88</v>
    <v>138.18</v>
    <v>134.1</v>
    <v>139.96</v>
    <v>143.35</v>
    <v>130.31</v>
    <v>138.24</v>
    <v>135.71</v>
    <v>145.44</v>
    <v>157.96</v>
    <v>146.33000000000001</v>
    <v>145.02000000000001</v>
    <v>139.06</v>
    <v>156.08000000000001</v>
    <v>170.1</v>
    <v>174.36</v>
    <v>186.06</v>
    <v>200.3</v>
    <v>191.74</v>
    <v>202.63</v>
    <v>202.26</v>
    <v>212.8</v>
    <v>224.8</v>
    <v>210.86</v>
    <v>221.92</v>
    <v>249.72</v>
    <v>239.71</v>
    <v>267.3</v>
    <v>264.64999999999998</v>
    <v>245.3</v>
    <v>244.62</v>
    <v>264</v>
    <v>289.91000000000003</v>
    <v>296.24</v>
    <v>301.42</v>
    <v>315.43</v>
    <v>311.12</v>
    <v>313.08</v>
  </a>
  <a r="1" c="61">
    <v>105.8</v>
    <v>108.56</v>
    <v>101.49</v>
    <v>103.53</v>
    <v>108.18</v>
    <v>119.52</v>
    <v>119.97</v>
    <v>115.03</v>
    <v>131.38999999999999</v>
    <v>131.03</v>
    <v>122.31</v>
    <v>124.94</v>
    <v>122.84</v>
    <v>138.86000000000001</v>
    <v>125.17</v>
    <v>122.58</v>
    <v>118.53</v>
    <v>117.01</v>
    <v>121.47</v>
    <v>113.51</v>
    <v>122.54</v>
    <v>111.24</v>
    <v>106.34</v>
    <v>118.25</v>
    <v>128.66</v>
    <v>128.08000000000001</v>
    <v>130.51</v>
    <v>127.16</v>
    <v>132.08000000000001</v>
    <v>140.58000000000001</v>
    <v>128.69</v>
    <v>138.55000000000001</v>
    <v>137.66999999999999</v>
    <v>129.38</v>
    <v>124.94</v>
    <v>120.86</v>
    <v>125.55</v>
    <v>130.66</v>
    <v>129.49</v>
    <v>138.41999999999999</v>
    <v>138.65</v>
    <v>141.25</v>
    <v>137.43</v>
    <v>132.46</v>
    <v>132.83000000000001</v>
    <v>134.91999999999999</v>
    <v>139.71</v>
    <v>131.16</v>
    <v>138.94</v>
    <v>134.16</v>
    <v>130.5</v>
    <v>156.37</v>
    <v>157.36000000000001</v>
    <v>150.44</v>
    <v>143.94</v>
    <v>148.18</v>
    <v>144.15</v>
    <v>146.97</v>
    <v>152</v>
    <v>138.21</v>
    <v>153.21</v>
  </a>
  <a r="1" c="61">
    <v>80.36</v>
    <v>84.85</v>
    <v>102.28</v>
    <v>90.19</v>
    <v>88.64</v>
    <v>96.72</v>
    <v>93.95</v>
    <v>104.44</v>
    <v>114.12</v>
    <v>127.53</v>
    <v>126.99</v>
    <v>124.08</v>
    <v>121.92</v>
    <v>133.47</v>
    <v>123.45</v>
    <v>106.82</v>
    <v>105.28</v>
    <v>91.05</v>
    <v>88.01</v>
    <v>83.52</v>
    <v>95.89</v>
    <v>80.83</v>
    <v>70.010000000000005</v>
    <v>72.63</v>
    <v>83.26</v>
    <v>82.31</v>
    <v>89.69</v>
    <v>83.95</v>
    <v>74.930000000000007</v>
    <v>74.790000000000006</v>
    <v>70.11</v>
    <v>73.83</v>
    <v>82.7</v>
    <v>75.7</v>
    <v>68.22</v>
    <v>65.02</v>
    <v>65.239999999999995</v>
    <v>76.23</v>
    <v>73.48</v>
    <v>71.89</v>
    <v>66.599999999999994</v>
    <v>61.69</v>
    <v>46.46</v>
    <v>46.98</v>
    <v>44.23</v>
    <v>47.37</v>
    <v>53.87</v>
    <v>52.39</v>
    <v>49.83</v>
    <v>41.07</v>
    <v>39.57</v>
    <v>45.35</v>
    <v>41.08</v>
    <v>34.53</v>
    <v>45.25</v>
    <v>48.94</v>
    <v>42.41</v>
    <v>48.71</v>
    <v>48.15</v>
    <v>50.81</v>
    <v>42.07</v>
  </a>
  <a r="1" c="61">
    <v>50.929499999999997</v>
    <v>48.049500000000002</v>
    <v>46.829500000000003</v>
    <v>43.306199999999997</v>
    <v>45.276200000000003</v>
    <v>46.636200000000002</v>
    <v>47.3429</v>
    <v>47.0062</v>
    <v>47.516199999999998</v>
    <v>49.366199999999999</v>
    <v>46.459499999999998</v>
    <v>49.806199999999997</v>
    <v>46.876199999999997</v>
    <v>48.229500000000002</v>
    <v>46.602899999999998</v>
    <v>45.052900000000001</v>
    <v>49.639499999999998</v>
    <v>50.996200000000002</v>
    <v>42.876199999999997</v>
    <v>40.526299999999999</v>
    <v>44.016199999999998</v>
    <v>44.182899999999997</v>
    <v>43.232900000000001</v>
    <v>47.442900000000002</v>
    <v>50.806199999999997</v>
    <v>47.262900000000002</v>
    <v>47.956200000000003</v>
    <v>47.376199999999997</v>
    <v>49.149500000000003</v>
    <v>50.322800000000001</v>
    <v>48.956200000000003</v>
    <v>52.392800000000001</v>
    <v>53.286099999999998</v>
    <v>54.202800000000003</v>
    <v>53.3095</v>
    <v>54.469499999999996</v>
    <v>51.896099999999997</v>
    <v>52.549500000000002</v>
    <v>55.082799999999999</v>
    <v>58.61</v>
    <v>60.17</v>
    <v>59.35</v>
    <v>65.760000000000005</v>
    <v>67.709999999999994</v>
    <v>68.64</v>
    <v>77.23</v>
    <v>80.75</v>
    <v>81.95</v>
    <v>92.5</v>
    <v>90.35</v>
    <v>98.16</v>
    <v>98.61</v>
    <v>87.79</v>
    <v>97.25</v>
    <v>98.72</v>
    <v>97.78</v>
    <v>97.98</v>
    <v>96.98</v>
    <v>103.06</v>
    <v>101.18</v>
    <v>110.51</v>
  </a>
  <a r="1" c="61">
    <v>173.59</v>
    <v>182.02</v>
    <v>182.84</v>
    <v>215.88</v>
    <v>231.87</v>
    <v>228.11</v>
    <v>241.08</v>
    <v>217.63</v>
    <v>206.75</v>
    <v>210.87</v>
    <v>191.97</v>
    <v>204.01</v>
    <v>193.35</v>
    <v>206.74</v>
    <v>201.56</v>
    <v>187.58</v>
    <v>222.82</v>
    <v>210.54</v>
    <v>215.85</v>
    <v>178.76</v>
    <v>198.25</v>
    <v>184.71</v>
    <v>164.08</v>
    <v>216.46</v>
    <v>236.41</v>
    <v>239.56</v>
    <v>252.29</v>
    <v>239.55</v>
    <v>228.84</v>
    <v>218.8</v>
    <v>205.75</v>
    <v>246.05</v>
    <v>265.17</v>
    <v>281.13</v>
    <v>273</v>
    <v>226.05</v>
    <v>250.72</v>
    <v>295.67</v>
    <v>300.31</v>
    <v>333.96</v>
    <v>366.43</v>
    <v>334.57</v>
    <v>338.52</v>
    <v>333.1</v>
    <v>346.2</v>
    <v>356.1</v>
    <v>391.12</v>
    <v>376.2</v>
    <v>406.11</v>
    <v>362.76</v>
    <v>371.44</v>
    <v>343.95</v>
    <v>329.8</v>
    <v>309.27</v>
    <v>348.03</v>
    <v>388.21</v>
    <v>438.02</v>
    <v>419.04</v>
    <v>477.15</v>
    <v>577.26</v>
    <v>575.76</v>
  </a>
  <a r="1" c="61">
    <v>75.62</v>
    <v>78.069999999999993</v>
    <v>78.28</v>
    <v>86.72</v>
    <v>91.1</v>
    <v>100.36</v>
    <v>106.97</v>
    <v>102.47</v>
    <v>100.28</v>
    <v>105.88</v>
    <v>105.2</v>
    <v>110.05</v>
    <v>102.26</v>
    <v>108.24</v>
    <v>111.57</v>
    <v>111.66</v>
    <v>118.17</v>
    <v>108.51</v>
    <v>106.25</v>
    <v>95.68</v>
    <v>99.99</v>
    <v>95.75</v>
    <v>85.78</v>
    <v>105.19</v>
    <v>108.03</v>
    <v>99.46</v>
    <v>104.94</v>
    <v>100</v>
    <v>82.74</v>
    <v>87</v>
    <v>78.69</v>
    <v>88.22</v>
    <v>96.49</v>
    <v>94.67</v>
    <v>94.89</v>
    <v>91.44</v>
    <v>97.78</v>
    <v>103.71</v>
    <v>104.93</v>
    <v>108.99</v>
    <v>117.4</v>
    <v>110.48</v>
    <v>120.35</v>
    <v>117.19</v>
    <v>125.32</v>
    <v>121.16</v>
    <v>121.1</v>
    <v>122.48</v>
    <v>129.41</v>
    <v>118.53</v>
    <v>120.76</v>
    <v>115.1</v>
    <v>111.68</v>
    <v>102.71</v>
    <v>103.89</v>
    <v>107.44</v>
    <v>103.58</v>
    <v>109.66</v>
    <v>103.74</v>
    <v>104</v>
    <v>108.25</v>
  </a>
  <a r="1" c="61">
    <v>116.76</v>
    <v>119.66</v>
    <v>114.86</v>
    <v>124.02</v>
    <v>131.85</v>
    <v>137.24</v>
    <v>142.24</v>
    <v>144.63999999999999</v>
    <v>157.19999999999999</v>
    <v>174.43</v>
    <v>155.46</v>
    <v>143.6</v>
    <v>133.54</v>
    <v>136.16999999999999</v>
    <v>124.42</v>
    <v>110.44</v>
    <v>118.61</v>
    <v>109.74</v>
    <v>105.62</v>
    <v>98.25</v>
    <v>97.62</v>
    <v>88.49</v>
    <v>80.31</v>
    <v>88.04</v>
    <v>92.99</v>
    <v>92.29</v>
    <v>98.88</v>
    <v>98.13</v>
    <v>100.92</v>
    <v>98.17</v>
    <v>103.15</v>
    <v>104.29</v>
    <v>105.89</v>
    <v>106.02</v>
    <v>105.2</v>
    <v>102.53</v>
    <v>122.24</v>
    <v>128.54</v>
    <v>119.49</v>
    <v>137.35</v>
    <v>148.87</v>
    <v>144.47</v>
    <v>163.85</v>
    <v>162.91999999999999</v>
    <v>171.25</v>
    <v>183.29</v>
    <v>176.03</v>
    <v>198.35</v>
    <v>212.6</v>
    <v>206.26</v>
    <v>215.85</v>
    <v>228.93</v>
    <v>217.13</v>
    <v>186.87</v>
    <v>202.97</v>
    <v>208.72</v>
    <v>218.76</v>
    <v>241.82</v>
    <v>246.22</v>
    <v>213.94</v>
    <v>195.32</v>
  </a>
  <a r="1" c="61">
    <v>33</v>
    <v>31.76</v>
    <v>34.5</v>
    <v>32.21</v>
    <v>35.99</v>
    <v>36.54</v>
    <v>36.979999999999997</v>
    <v>38.31</v>
    <v>40.700000000000003</v>
    <v>46.03</v>
    <v>40.43</v>
    <v>40.020000000000003</v>
    <v>41.53</v>
    <v>45.26</v>
    <v>43.59</v>
    <v>46.8</v>
    <v>57.37</v>
    <v>53.96</v>
    <v>52.97</v>
    <v>47.33</v>
    <v>46.44</v>
    <v>47.94</v>
    <v>43.75</v>
    <v>47.29</v>
    <v>49.19</v>
    <v>44.58</v>
    <v>44.63</v>
    <v>43.14</v>
    <v>49.37</v>
    <v>48.63</v>
    <v>45.33</v>
    <v>47</v>
    <v>48.64</v>
    <v>46.39</v>
    <v>44.75</v>
    <v>45.37</v>
    <v>44.27</v>
    <v>45.71</v>
    <v>46.14</v>
    <v>49.61</v>
    <v>57.13</v>
    <v>55.38</v>
    <v>52.37</v>
    <v>49.93</v>
    <v>54.5</v>
    <v>53.21</v>
    <v>57.3</v>
    <v>55.77</v>
    <v>61.08</v>
    <v>61.15</v>
    <v>61.64</v>
    <v>64.819999999999993</v>
    <v>67.69</v>
    <v>72.209999999999994</v>
    <v>68.23</v>
    <v>71.73</v>
    <v>70.099999999999994</v>
    <v>67.84</v>
    <v>67.41</v>
    <v>63.63</v>
    <v>67.28</v>
  </a>
  <a r="1" c="61">
    <v>189.19810000000001</v>
    <v>235.221</v>
    <v>264.50740000000002</v>
    <v>225.1644</v>
    <v>222.64109999999999</v>
    <v>236.4776</v>
    <v>208.40459999999999</v>
    <v>226.56440000000001</v>
    <v>229.06440000000001</v>
    <v>245.23750000000001</v>
    <v>258.4907</v>
    <v>371.32960000000003</v>
    <v>381.5829</v>
    <v>352.25650000000002</v>
    <v>312.23689999999999</v>
    <v>290.1404</v>
    <v>359.19639999999998</v>
    <v>290.25040000000001</v>
    <v>252.7508</v>
    <v>224.47110000000001</v>
    <v>297.14699999999999</v>
    <v>275.61</v>
    <v>265.25</v>
    <v>227.54</v>
    <v>194.7</v>
    <v>123.18</v>
    <v>173.22</v>
    <v>205.71</v>
    <v>207.46</v>
    <v>164.31</v>
    <v>203.93</v>
    <v>261.77</v>
    <v>267.43</v>
    <v>258.08</v>
    <v>250.22</v>
    <v>200.84</v>
    <v>240.08</v>
    <v>248.48</v>
    <v>187.29</v>
    <v>201.88</v>
    <v>175.79</v>
    <v>183.28</v>
    <v>178.08</v>
    <v>197.88</v>
    <v>232.07</v>
    <v>214.11</v>
    <v>261.63</v>
    <v>249.85</v>
    <v>345.16</v>
    <v>403.84</v>
    <v>404.6</v>
    <v>292.98</v>
    <v>259.16000000000003</v>
    <v>282.16000000000003</v>
    <v>346.46</v>
    <v>317.66000000000003</v>
    <v>308.27</v>
    <v>333.87</v>
    <v>444.72</v>
    <v>456.56</v>
    <v>430.17</v>
  </a>
  <a r="1" c="61">
    <v>123.52</v>
    <v>125.88</v>
    <v>119.11</v>
    <v>118.93</v>
    <v>133.26</v>
    <v>141.88</v>
    <v>143.74</v>
    <v>146.59</v>
    <v>140.96</v>
    <v>140.34</v>
    <v>138.93</v>
    <v>125.1</v>
    <v>117.1</v>
    <v>133.66</v>
    <v>133.57</v>
    <v>122.51</v>
    <v>130.02000000000001</v>
    <v>132.21</v>
    <v>138.84</v>
    <v>141.19</v>
    <v>130.79</v>
    <v>128.44999999999999</v>
    <v>118.81</v>
    <v>138.29</v>
    <v>148.9</v>
    <v>140.88999999999999</v>
    <v>134.72999999999999</v>
    <v>129.30000000000001</v>
    <v>131.09</v>
    <v>126.41</v>
    <v>128.59</v>
    <v>133.81</v>
    <v>144.18</v>
    <v>146.83000000000001</v>
    <v>140.30000000000001</v>
    <v>144.63999999999999</v>
    <v>158.56</v>
    <v>163.55000000000001</v>
    <v>183.66</v>
    <v>185.03</v>
    <v>190.96</v>
    <v>166.2</v>
    <v>166.85</v>
    <v>172.95</v>
    <v>192.14</v>
    <v>202.13</v>
    <v>221.08</v>
    <v>206.72</v>
    <v>227.41</v>
    <v>219.83</v>
    <v>255.7</v>
    <v>252.44</v>
    <v>248.66</v>
    <v>241.82</v>
    <v>259.06</v>
    <v>294.77999999999997</v>
    <v>253.15</v>
    <v>243.49</v>
    <v>282.16000000000003</v>
    <v>307.41000000000003</v>
    <v>308.58</v>
  </a>
  <a r="1" c="61">
    <v>210.71</v>
    <v>214.06</v>
    <v>194.19</v>
    <v>212.01</v>
    <v>254.72</v>
    <v>234.31</v>
    <v>247.02</v>
    <v>239.56</v>
    <v>226.48</v>
    <v>219.5</v>
    <v>219.94</v>
    <v>207.03</v>
    <v>197.85</v>
    <v>201.32</v>
    <v>200.24</v>
    <v>205.34</v>
    <v>191.5</v>
    <v>148.84</v>
    <v>131.4</v>
    <v>136.72</v>
    <v>159.31</v>
    <v>160.25</v>
    <v>121.08</v>
    <v>142.51</v>
    <v>178.88</v>
    <v>190.49</v>
    <v>213</v>
    <v>201.55</v>
    <v>212.43</v>
    <v>206.78</v>
    <v>205.7</v>
    <v>211.16</v>
    <v>238.85</v>
    <v>224.03</v>
    <v>191.68</v>
    <v>186.82</v>
    <v>231.63</v>
    <v>260.66000000000003</v>
    <v>211.04</v>
    <v>203.72</v>
    <v>192.99</v>
    <v>167.84</v>
    <v>177.61</v>
    <v>182.01</v>
    <v>190.6</v>
    <v>173.74</v>
    <v>152.04</v>
    <v>149.31</v>
    <v>155.44</v>
    <v>177</v>
    <v>176.52</v>
    <v>174.63</v>
    <v>170.55</v>
    <v>183.24</v>
    <v>207.32</v>
    <v>209.53</v>
    <v>221.84</v>
    <v>234.68</v>
    <v>215.83</v>
    <v>201.02</v>
    <v>189</v>
  </a>
</arrayData>
</file>

<file path=xl/richData/rdrichvalue.xml><?xml version="1.0" encoding="utf-8"?>
<rvData xmlns="http://schemas.microsoft.com/office/spreadsheetml/2017/richdata" count="1882">
  <rv s="0">
    <fb>189.19810000000001</fb>
    <v>0</v>
  </rv>
  <rv s="0">
    <fb>78.81</fb>
    <v>0</v>
  </rv>
  <rv s="0">
    <fb>13.4015</fb>
    <v>0</v>
  </rv>
  <rv s="0">
    <fb>45.05</fb>
    <v>0</v>
  </rv>
  <rv s="0">
    <fb>276.97000000000003</fb>
    <v>0</v>
  </rv>
  <rv s="0">
    <fb>8.9364000000000008</fb>
    <v>0</v>
  </rv>
  <rv s="0">
    <fb>40.29</fb>
    <v>0</v>
  </rv>
  <rv s="0">
    <fb>80.36</fb>
    <v>0</v>
  </rv>
  <rv s="0">
    <fb>210.71</fb>
    <v>0</v>
  </rv>
  <rv s="0">
    <fb>25.788599999999999</fb>
    <v>0</v>
  </rv>
  <rv s="0">
    <fb>173.59</fb>
    <v>0</v>
  </rv>
  <rv s="0">
    <fb>145.65</fb>
    <v>0</v>
  </rv>
  <rv s="0">
    <fb>87.72</fb>
    <v>0</v>
  </rv>
  <rv s="0">
    <fb>144.4161</fb>
    <v>0</v>
  </rv>
  <rv s="0">
    <fb>38.130000000000003</fb>
    <v>0</v>
  </rv>
  <rv s="0">
    <fb>116.76</fb>
    <v>0</v>
  </rv>
  <rv s="0">
    <fb>123.52</fb>
    <v>0</v>
  </rv>
  <rv s="0">
    <fb>119.05</fb>
    <v>0</v>
  </rv>
  <rv s="0">
    <fb>277.41000000000003</fb>
    <v>0</v>
  </rv>
  <rv s="0">
    <fb>117.88</fb>
    <v>0</v>
  </rv>
  <rv s="0">
    <fb>75.62</fb>
    <v>0</v>
  </rv>
  <rv s="0">
    <fb>21.711400000000001</fb>
    <v>0</v>
  </rv>
  <rv s="0">
    <fb>33</fb>
    <v>0</v>
  </rv>
  <rv s="0">
    <fb>38.31</fb>
    <v>0</v>
  </rv>
  <rv s="0">
    <fb>336.51</fb>
    <v>0</v>
  </rv>
  <rv s="0">
    <fb>214.07</fb>
    <v>0</v>
  </rv>
  <rv s="0">
    <fb>105.8</fb>
    <v>0</v>
  </rv>
  <rv s="0">
    <fb>50.929499999999997</fb>
    <v>0</v>
  </rv>
  <rv s="0">
    <fb>51.6</fb>
    <v>0</v>
  </rv>
  <rv s="0">
    <fb>217.44</fb>
    <v>0</v>
  </rv>
  <rv s="0">
    <fb>363.32</fb>
    <v>0</v>
  </rv>
  <rv s="0">
    <fb>235.221</fb>
    <v>0</v>
  </rv>
  <rv s="0">
    <fb>74.69</fb>
    <v>0</v>
  </rv>
  <rv s="0">
    <fb>13.055</fb>
    <v>0</v>
  </rv>
  <rv s="0">
    <fb>43.25</fb>
    <v>0</v>
  </rv>
  <rv s="0">
    <fb>273.16000000000003</fb>
    <v>0</v>
  </rv>
  <rv s="0">
    <fb>8.6509</fb>
    <v>0</v>
  </rv>
  <rv s="0">
    <fb>36.700000000000003</fb>
    <v>0</v>
  </rv>
  <rv s="0">
    <fb>84.85</fb>
    <v>0</v>
  </rv>
  <rv s="0">
    <fb>214.06</fb>
    <v>0</v>
  </rv>
  <rv s="0">
    <fb>27.734200000000001</fb>
    <v>0</v>
  </rv>
  <rv s="0">
    <fb>182.02</fb>
    <v>0</v>
  </rv>
  <rv s="0">
    <fb>168.84</fb>
    <v>0</v>
  </rv>
  <rv s="0">
    <fb>87.632000000000005</fb>
    <v>0</v>
  </rv>
  <rv s="0">
    <fb>146.13839999999999</fb>
    <v>0</v>
  </rv>
  <rv s="0">
    <fb>41.22</fb>
    <v>0</v>
  </rv>
  <rv s="0">
    <fb>119.66</fb>
    <v>0</v>
  </rv>
  <rv s="0">
    <fb>125.88</fb>
    <v>0</v>
  </rv>
  <rv s="0">
    <fb>132.69</fb>
    <v>0</v>
  </rv>
  <rv s="0">
    <fb>265.62</fb>
    <v>0</v>
  </rv>
  <rv s="0">
    <fb>127.07</fb>
    <v>0</v>
  </rv>
  <rv s="0">
    <fb>78.069999999999993</fb>
    <v>0</v>
  </rv>
  <rv s="0">
    <fb>21.719000000000001</fb>
    <v>0</v>
  </rv>
  <rv s="0">
    <fb>31.76</fb>
    <v>0</v>
  </rv>
  <rv s="0">
    <fb>36.81</fb>
    <v>0</v>
  </rv>
  <rv s="0">
    <fb>356.94</fb>
    <v>0</v>
  </rv>
  <rv s="0">
    <fb>222.42</fb>
    <v>0</v>
  </rv>
  <rv s="0">
    <fb>108.56</fb>
    <v>0</v>
  </rv>
  <rv s="0">
    <fb>48.049500000000002</fb>
    <v>0</v>
  </rv>
  <rv s="0">
    <fb>54.84</fb>
    <v>0</v>
  </rv>
  <rv s="0">
    <fb>214.58</fb>
    <v>0</v>
  </rv>
  <rv s="0">
    <fb>375.39</fb>
    <v>0</v>
  </rv>
  <rv s="0">
    <fb>264.50740000000002</fb>
    <v>0</v>
  </rv>
  <rv s="0">
    <fb>65</fb>
    <v>0</v>
  </rv>
  <rv s="0">
    <fb>12.989800000000001</fb>
    <v>0</v>
  </rv>
  <rv s="0">
    <fb>39.99</fb>
    <v>0</v>
  </rv>
  <rv s="0">
    <fb>258.33</fb>
    <v>0</v>
  </rv>
  <rv s="0">
    <fb>10.3634</fb>
    <v>0</v>
  </rv>
  <rv s="0">
    <fb>40.090000000000003</fb>
    <v>0</v>
  </rv>
  <rv s="0">
    <fb>102.28</fb>
    <v>0</v>
  </rv>
  <rv s="0">
    <fb>194.19</fb>
    <v>0</v>
  </rv>
  <rv s="0">
    <fb>29.6</fb>
    <v>0</v>
  </rv>
  <rv s="0">
    <fb>182.84</fb>
    <v>0</v>
  </rv>
  <rv s="0">
    <fb>207.97</fb>
    <v>0</v>
  </rv>
  <rv s="0">
    <fb>91.367999999999995</fb>
    <v>0</v>
  </rv>
  <rv s="0">
    <fb>146.86580000000001</fb>
    <v>0</v>
  </rv>
  <rv s="0">
    <fb>44.84</fb>
    <v>0</v>
  </rv>
  <rv s="0">
    <fb>114.86</fb>
    <v>0</v>
  </rv>
  <rv s="0">
    <fb>119.11</fb>
    <v>0</v>
  </rv>
  <rv s="0">
    <fb>131.96</fb>
    <v>0</v>
  </rv>
  <rv s="0">
    <fb>270.82</fb>
    <v>0</v>
  </rv>
  <rv s="0">
    <fb>128.66999999999999</fb>
    <v>0</v>
  </rv>
  <rv s="0">
    <fb>78.28</fb>
    <v>0</v>
  </rv>
  <rv s="0">
    <fb>21.620799999999999</fb>
    <v>0</v>
  </rv>
  <rv s="0">
    <fb>34.5</fb>
    <v>0</v>
  </rv>
  <rv s="0">
    <fb>35.9</fb>
    <v>0</v>
  </rv>
  <rv s="0">
    <fb>316.29000000000002</fb>
    <v>0</v>
  </rv>
  <rv s="0">
    <fb>231.96</fb>
    <v>0</v>
  </rv>
  <rv s="0">
    <fb>101.49</fb>
    <v>0</v>
  </rv>
  <rv s="0">
    <fb>46.829500000000003</fb>
    <v>0</v>
  </rv>
  <rv s="0">
    <fb>48.15</fb>
    <v>0</v>
  </rv>
  <rv s="0">
    <fb>207.84</fb>
    <v>0</v>
  </rv>
  <rv s="0">
    <fb>371.52</fb>
    <v>0</v>
  </rv>
  <rv s="0">
    <fb>225.1644</fb>
    <v>0</v>
  </rv>
  <rv s="0">
    <fb>93.27</fb>
    <v>0</v>
  </rv>
  <rv s="0">
    <fb>13.714499999999999</fb>
    <v>0</v>
  </rv>
  <rv s="0">
    <fb>52.68</fb>
    <v>0</v>
  </rv>
  <rv s="0">
    <fb>257.62</fb>
    <v>0</v>
  </rv>
  <rv s="0">
    <fb>11.514900000000001</fb>
    <v>0</v>
  </rv>
  <rv s="0">
    <fb>35.67</fb>
    <v>0</v>
  </rv>
  <rv s="0">
    <fb>90.19</fb>
    <v>0</v>
  </rv>
  <rv s="0">
    <fb>212.01</fb>
    <v>0</v>
  </rv>
  <rv s="0">
    <fb>28.84</fb>
    <v>0</v>
  </rv>
  <rv s="0">
    <fb>215.88</fb>
    <v>0</v>
  </rv>
  <rv s="0">
    <fb>204.89</fb>
    <v>0</v>
  </rv>
  <rv s="0">
    <fb>101.0955</fb>
    <v>0</v>
  </rv>
  <rv s="0">
    <fb>146.36420000000001</fb>
    <v>0</v>
  </rv>
  <rv s="0">
    <fb>54.37</fb>
    <v>0</v>
  </rv>
  <rv s="0">
    <fb>124.02</fb>
    <v>0</v>
  </rv>
  <rv s="0">
    <fb>118.93</fb>
    <v>0</v>
  </rv>
  <rv s="0">
    <fb>121.26</fb>
    <v>0</v>
  </rv>
  <rv s="0">
    <fb>258.33999999999997</fb>
    <v>0</v>
  </rv>
  <rv s="0">
    <fb>147.16999999999999</fb>
    <v>0</v>
  </rv>
  <rv s="0">
    <fb>86.72</fb>
    <v>0</v>
  </rv>
  <rv s="0">
    <fb>21.062000000000001</fb>
    <v>0</v>
  </rv>
  <rv s="0">
    <fb>32.21</fb>
    <v>0</v>
  </rv>
  <rv s="0">
    <fb>33.49</fb>
    <v>0</v>
  </rv>
  <rv s="0">
    <fb>353.85</fb>
    <v>0</v>
  </rv>
  <rv s="0">
    <fb>232.38</fb>
    <v>0</v>
  </rv>
  <rv s="0">
    <fb>103.53</fb>
    <v>0</v>
  </rv>
  <rv s="0">
    <fb>43.306199999999997</fb>
    <v>0</v>
  </rv>
  <rv s="0">
    <fb>48.99</fb>
    <v>0</v>
  </rv>
  <rv s="0">
    <fb>206.14</fb>
    <v>0</v>
  </rv>
  <rv s="0">
    <fb>381.77</fb>
    <v>0</v>
  </rv>
  <rv s="0">
    <fb>222.64109999999999</fb>
    <v>0</v>
  </rv>
  <rv s="0">
    <fb>85.61</fb>
    <v>0</v>
  </rv>
  <rv s="0">
    <fb>13.3483</fb>
    <v>0</v>
  </rv>
  <rv s="0">
    <fb>57.54</fb>
    <v>0</v>
  </rv>
  <rv s="0">
    <fb>294.52999999999997</fb>
    <v>0</v>
  </rv>
  <rv s="0">
    <fb>12.0562</fb>
    <v>0</v>
  </rv>
  <rv s="0">
    <fb>40.1</fb>
    <v>0</v>
  </rv>
  <rv s="0">
    <fb>88.64</fb>
    <v>0</v>
  </rv>
  <rv s="0">
    <fb>254.72</fb>
    <v>0</v>
  </rv>
  <rv s="0">
    <fb>28.416399999999999</fb>
    <v>0</v>
  </rv>
  <rv s="0">
    <fb>231.87</fb>
    <v>0</v>
  </rv>
  <rv s="0">
    <fb>186.82</fb>
    <v>0</v>
  </rv>
  <rv s="0">
    <fb>103.126</fb>
    <v>0</v>
  </rv>
  <rv s="0">
    <fb>161.0959</fb>
    <v>0</v>
  </rv>
  <rv s="0">
    <fb>55.83</fb>
    <v>0</v>
  </rv>
  <rv s="0">
    <fb>131.85</fb>
    <v>0</v>
  </rv>
  <rv s="0">
    <fb>133.26</fb>
    <v>0</v>
  </rv>
  <rv s="0">
    <fb>122.15</fb>
    <v>0</v>
  </rv>
  <rv s="0">
    <fb>305.25</fb>
    <v>0</v>
  </rv>
  <rv s="0">
    <fb>152.22999999999999</fb>
    <v>0</v>
  </rv>
  <rv s="0">
    <fb>91.1</fb>
    <v>0</v>
  </rv>
  <rv s="0">
    <fb>22.859300000000001</fb>
    <v>0</v>
  </rv>
  <rv s="0">
    <fb>35.99</fb>
    <v>0</v>
  </rv>
  <rv s="0">
    <fb>36.229999999999997</fb>
    <v>0</v>
  </rv>
  <rv s="0">
    <fb>356.05</fb>
    <v>0</v>
  </rv>
  <rv s="0">
    <fb>235.77</fb>
    <v>0</v>
  </rv>
  <rv s="0">
    <fb>108.18</fb>
    <v>0</v>
  </rv>
  <rv s="0">
    <fb>45.276200000000003</fb>
    <v>0</v>
  </rv>
  <rv s="0">
    <fb>52.71</fb>
    <v>0</v>
  </rv>
  <rv s="0">
    <fb>224.14</fb>
    <v>0</v>
  </rv>
  <rv s="0">
    <fb>397.82</fb>
    <v>0</v>
  </rv>
  <rv s="0">
    <fb>236.4776</fb>
    <v>0</v>
  </rv>
  <rv s="0">
    <fb>86.95</fb>
    <v>0</v>
  </rv>
  <rv s="0">
    <fb>15.009499999999999</fb>
    <v>0</v>
  </rv>
  <rv s="0">
    <fb>54.4</fb>
    <v>0</v>
  </rv>
  <rv s="0">
    <fb>325.08</fb>
    <v>0</v>
  </rv>
  <rv s="0">
    <fb>11.3574</fb>
    <v>0</v>
  </rv>
  <rv s="0">
    <fb>48.37</fb>
    <v>0</v>
  </rv>
  <rv s="0">
    <fb>96.72</fb>
    <v>0</v>
  </rv>
  <rv s="0">
    <fb>234.31</fb>
    <v>0</v>
  </rv>
  <rv s="0">
    <fb>29.840599999999998</fb>
    <v>0</v>
  </rv>
  <rv s="0">
    <fb>228.11</fb>
    <v>0</v>
  </rv>
  <rv s="0">
    <fb>182.77</fb>
    <v>0</v>
  </rv>
  <rv s="0">
    <fb>117.675</fb>
    <v>0</v>
  </rv>
  <rv s="0">
    <fb>164.82480000000001</fb>
    <v>0</v>
  </rv>
  <rv s="0">
    <fb>57.24</fb>
    <v>0</v>
  </rv>
  <rv s="0">
    <fb>137.24</fb>
    <v>0</v>
  </rv>
  <rv s="0">
    <fb>141.88</fb>
    <v>0</v>
  </rv>
  <rv s="0">
    <fb>131.46</fb>
    <v>0</v>
  </rv>
  <rv s="0">
    <fb>323.67</fb>
    <v>0</v>
  </rv>
  <rv s="0">
    <fb>153.81</fb>
    <v>0</v>
  </rv>
  <rv s="0">
    <fb>100.36</fb>
    <v>0</v>
  </rv>
  <rv s="0">
    <fb>23.720199999999998</fb>
    <v>0</v>
  </rv>
  <rv s="0">
    <fb>36.54</fb>
    <v>0</v>
  </rv>
  <rv s="0">
    <fb>38.65</fb>
    <v>0</v>
  </rv>
  <rv s="0">
    <fb>382.06</fb>
    <v>0</v>
  </rv>
  <rv s="0">
    <fb>252.18</fb>
    <v>0</v>
  </rv>
  <rv s="0">
    <fb>119.52</fb>
    <v>0</v>
  </rv>
  <rv s="0">
    <fb>46.636200000000002</fb>
    <v>0</v>
  </rv>
  <rv s="0">
    <fb>53.98</fb>
    <v>0</v>
  </rv>
  <rv s="0">
    <fb>236.08</fb>
    <v>0</v>
  </rv>
  <rv s="0">
    <fb>418.88</fb>
    <v>0</v>
  </rv>
  <rv s="0">
    <fb>208.40459999999999</fb>
    <v>0</v>
  </rv>
  <rv s="0">
    <fb>16.244499999999999</fb>
    <v>0</v>
  </rv>
  <rv s="0">
    <fb>58.35</fb>
    <v>0</v>
  </rv>
  <rv s="0">
    <fb>328.73</fb>
    <v>0</v>
  </rv>
  <rv s="0">
    <fb>14.3001</fb>
    <v>0</v>
  </rv>
  <rv s="0">
    <fb>48.47</fb>
    <v>0</v>
  </rv>
  <rv s="0">
    <fb>93.95</fb>
    <v>0</v>
  </rv>
  <rv s="0">
    <fb>247.02</fb>
    <v>0</v>
  </rv>
  <rv s="0">
    <fb>27.439599999999999</fb>
    <v>0</v>
  </rv>
  <rv s="0">
    <fb>241.08</fb>
    <v>0</v>
  </rv>
  <rv s="0">
    <fb>199.74</fb>
    <v>0</v>
  </rv>
  <rv s="0">
    <fb>117.8425</fb>
    <v>0</v>
  </rv>
  <rv s="0">
    <fb>169.7577</fb>
    <v>0</v>
  </rv>
  <rv s="0">
    <fb>58.37</fb>
    <v>0</v>
  </rv>
  <rv s="0">
    <fb>142.24</fb>
    <v>0</v>
  </rv>
  <rv s="0">
    <fb>143.74</fb>
    <v>0</v>
  </rv>
  <rv s="0">
    <fb>124.61</fb>
    <v>0</v>
  </rv>
  <rv s="0">
    <fb>318.91000000000003</fb>
    <v>0</v>
  </rv>
  <rv s="0">
    <fb>164.24</fb>
    <v>0</v>
  </rv>
  <rv s="0">
    <fb>106.97</fb>
    <v>0</v>
  </rv>
  <rv s="0">
    <fb>22.224900000000002</fb>
    <v>0</v>
  </rv>
  <rv s="0">
    <fb>36.979999999999997</fb>
    <v>0</v>
  </rv>
  <rv s="0">
    <fb>38.729999999999997</fb>
    <v>0</v>
  </rv>
  <rv s="0">
    <fb>360.58</fb>
    <v>0</v>
  </rv>
  <rv s="0">
    <fb>249.68</fb>
    <v>0</v>
  </rv>
  <rv s="0">
    <fb>119.97</fb>
    <v>0</v>
  </rv>
  <rv s="0">
    <fb>47.3429</fb>
    <v>0</v>
  </rv>
  <rv s="0">
    <fb>55.29</fb>
    <v>0</v>
  </rv>
  <rv s="0">
    <fb>233.89</fb>
    <v>0</v>
  </rv>
  <rv s="0">
    <fb>421.65</fb>
    <v>0</v>
  </rv>
  <rv s="0">
    <fb>226.56440000000001</fb>
    <v>0</v>
  </rv>
  <rv s="0">
    <fb>85.28</fb>
    <v>0</v>
  </rv>
  <rv s="0">
    <fb>20.002500000000001</fb>
    <v>0</v>
  </rv>
  <rv s="0">
    <fb>52.29</fb>
    <v>0</v>
  </rv>
  <rv s="0">
    <fb>347.71</fb>
    <v>0</v>
  </rv>
  <rv s="0">
    <fb>14.6249</fb>
    <v>0</v>
  </rv>
  <rv s="0">
    <fb>45.82</fb>
    <v>0</v>
  </rv>
  <rv s="0">
    <fb>104.44</fb>
    <v>0</v>
  </rv>
  <rv s="0">
    <fb>239.56</fb>
    <v>0</v>
  </rv>
  <rv s="0">
    <fb>31.006799999999998</fb>
    <v>0</v>
  </rv>
  <rv s="0">
    <fb>217.63</fb>
    <v>0</v>
  </rv>
  <rv s="0">
    <fb>229.52</fb>
    <v>0</v>
  </rv>
  <rv s="0">
    <fb>122.0895</fb>
    <v>0</v>
  </rv>
  <rv s="0">
    <fb>166.07060000000001</fb>
    <v>0</v>
  </rv>
  <rv s="0">
    <fb>63.08</fb>
    <v>0</v>
  </rv>
  <rv s="0">
    <fb>144.63999999999999</fb>
    <v>0</v>
  </rv>
  <rv s="0">
    <fb>146.59</fb>
    <v>0</v>
  </rv>
  <rv s="0">
    <fb>136.96</fb>
    <v>0</v>
  </rv>
  <rv s="0">
    <fb>318.89</fb>
    <v>0</v>
  </rv>
  <rv s="0">
    <fb>155.54</fb>
    <v>0</v>
  </rv>
  <rv s="0">
    <fb>102.47</fb>
    <v>0</v>
  </rv>
  <rv s="0">
    <fb>21.734100000000002</fb>
    <v>0</v>
  </rv>
  <rv s="0">
    <fb>39.159999999999997</fb>
    <v>0</v>
  </rv>
  <rv s="0">
    <fb>365.09</fb>
    <v>0</v>
  </rv>
  <rv s="0">
    <fb>270.89999999999998</fb>
    <v>0</v>
  </rv>
  <rv s="0">
    <fb>115.03</fb>
    <v>0</v>
  </rv>
  <rv s="0">
    <fb>47.0062</fb>
    <v>0</v>
  </rv>
  <rv s="0">
    <fb>54.11</fb>
    <v>0</v>
  </rv>
  <rv s="0">
    <fb>230.99</fb>
    <v>0</v>
  </rv>
  <rv s="0">
    <fb>429.92</fb>
    <v>0</v>
  </rv>
  <rv s="0">
    <fb>229.06440000000001</fb>
    <v>0</v>
  </rv>
  <rv s="0">
    <fb>76.87</fb>
    <v>0</v>
  </rv>
  <rv s="0">
    <fb>19.498999999999999</fb>
    <v>0</v>
  </rv>
  <rv s="0">
    <fb>46.72</fb>
    <v>0</v>
  </rv>
  <rv s="0">
    <fb>356.3</fb>
    <v>0</v>
  </rv>
  <rv s="0">
    <fb>13.7293</fb>
    <v>0</v>
  </rv>
  <rv s="0">
    <fb>39.619999999999997</fb>
    <v>0</v>
  </rv>
  <rv s="0">
    <fb>114.12</fb>
    <v>0</v>
  </rv>
  <rv s="0">
    <fb>226.48</fb>
    <v>0</v>
  </rv>
  <rv s="0">
    <fb>37.268799999999999</fb>
    <v>0</v>
  </rv>
  <rv s="0">
    <fb>206.75</fb>
    <v>0</v>
  </rv>
  <rv s="0">
    <fb>243.5</fb>
    <v>0</v>
  </rv>
  <rv s="0">
    <fb>134.72649999999999</fb>
    <v>0</v>
  </rv>
  <rv s="0">
    <fb>165.49369999999999</fb>
    <v>0</v>
  </rv>
  <rv s="0">
    <fb>57.57</fb>
    <v>0</v>
  </rv>
  <rv s="0">
    <fb>157.19999999999999</fb>
    <v>0</v>
  </rv>
  <rv s="0">
    <fb>140.96</fb>
    <v>0</v>
  </rv>
  <rv s="0">
    <fb>145.86000000000001</fb>
    <v>0</v>
  </rv>
  <rv s="0">
    <fb>328.19</fb>
    <v>0</v>
  </rv>
  <rv s="0">
    <fb>151.78</fb>
    <v>0</v>
  </rv>
  <rv s="0">
    <fb>100.28</fb>
    <v>0</v>
  </rv>
  <rv s="0">
    <fb>21.1828</fb>
    <v>0</v>
  </rv>
  <rv s="0">
    <fb>40.700000000000003</fb>
    <v>0</v>
  </rv>
  <rv s="0">
    <fb>42.81</fb>
    <v>0</v>
  </rv>
  <rv s="0">
    <fb>385.94</fb>
    <v>0</v>
  </rv>
  <rv s="0">
    <fb>284.91000000000003</fb>
    <v>0</v>
  </rv>
  <rv s="0">
    <fb>131.38999999999999</fb>
    <v>0</v>
  </rv>
  <rv s="0">
    <fb>47.516199999999998</fb>
    <v>0</v>
  </rv>
  <rv s="0">
    <fb>57.03</fb>
    <v>0</v>
  </rv>
  <rv s="0">
    <fb>242.71</fb>
    <v>0</v>
  </rv>
  <rv s="0">
    <fb>440.4</fb>
    <v>0</v>
  </rv>
  <rv s="0">
    <fb>245.23750000000001</fb>
    <v>0</v>
  </rv>
  <rv s="0">
    <fb>82.73</fb>
    <v>0</v>
  </rv>
  <rv s="0">
    <fb>22.385000000000002</fb>
    <v>0</v>
  </rv>
  <rv s="0">
    <fb>46.51</fb>
    <v>0</v>
  </rv>
  <rv s="0">
    <fb>379.38</fb>
    <v>0</v>
  </rv>
  <rv s="0">
    <fb>12.8239</fb>
    <v>0</v>
  </rv>
  <rv s="0">
    <fb>39.53</fb>
    <v>0</v>
  </rv>
  <rv s="0">
    <fb>127.53</fb>
    <v>0</v>
  </rv>
  <rv s="0">
    <fb>219.5</fb>
    <v>0</v>
  </rv>
  <rv s="0">
    <fb>38.066600000000001</fb>
    <v>0</v>
  </rv>
  <rv s="0">
    <fb>210.87</fb>
    <v>0</v>
  </rv>
  <rv s="0">
    <fb>258.29000000000002</fb>
    <v>0</v>
  </rv>
  <rv s="0">
    <fb>144.69749999999999</fb>
    <v>0</v>
  </rv>
  <rv s="0">
    <fb>162.81819999999999</fb>
    <v>0</v>
  </rv>
  <rv s="0">
    <fb>54.52</fb>
    <v>0</v>
  </rv>
  <rv s="0">
    <fb>174.43</fb>
    <v>0</v>
  </rv>
  <rv s="0">
    <fb>140.34</fb>
    <v>0</v>
  </rv>
  <rv s="0">
    <fb>151.83000000000001</fb>
    <v>0</v>
  </rv>
  <rv s="0">
    <fb>326.18</fb>
    <v>0</v>
  </rv>
  <rv s="0">
    <fb>159.94999999999999</fb>
    <v>0</v>
  </rv>
  <rv s="0">
    <fb>105.88</fb>
    <v>0</v>
  </rv>
  <rv s="0">
    <fb>20.707000000000001</fb>
    <v>0</v>
  </rv>
  <rv s="0">
    <fb>46.03</fb>
    <v>0</v>
  </rv>
  <rv s="0">
    <fb>46.07</fb>
    <v>0</v>
  </rv>
  <rv s="0">
    <fb>346.23</fb>
    <v>0</v>
  </rv>
  <rv s="0">
    <fb>301.88</fb>
    <v>0</v>
  </rv>
  <rv s="0">
    <fb>131.03</fb>
    <v>0</v>
  </rv>
  <rv s="0">
    <fb>49.366199999999999</fb>
    <v>0</v>
  </rv>
  <rv s="0">
    <fb>56.31</fb>
    <v>0</v>
  </rv>
  <rv s="0">
    <fb>237.46</fb>
    <v>0</v>
  </rv>
  <rv s="0">
    <fb>453.71</fb>
    <v>0</v>
  </rv>
  <rv s="0">
    <fb>258.4907</fb>
    <v>0</v>
  </rv>
  <rv s="0">
    <fb>88.95</fb>
    <v>0</v>
  </rv>
  <rv s="0">
    <fb>20.716000000000001</fb>
    <v>0</v>
  </rv>
  <rv s="0">
    <fb>47.57</fb>
    <v>0</v>
  </rv>
  <rv s="0">
    <fb>339.39</fb>
    <v>0</v>
  </rv>
  <rv s="0">
    <fb>13.936</fb>
    <v>0</v>
  </rv>
  <rv s="0">
    <fb>36.61</fb>
    <v>0</v>
  </rv>
  <rv s="0">
    <fb>126.99</fb>
    <v>0</v>
  </rv>
  <rv s="0">
    <fb>219.94</fb>
    <v>0</v>
  </rv>
  <rv s="0">
    <fb>36.3504</fb>
    <v>0</v>
  </rv>
  <rv s="0">
    <fb>191.97</fb>
    <v>0</v>
  </rv>
  <rv s="0">
    <fb>231.05</fb>
    <v>0</v>
  </rv>
  <rv s="0">
    <fb>133.67599999999999</fb>
    <v>0</v>
  </rv>
  <rv s="0">
    <fb>146.6652</fb>
    <v>0</v>
  </rv>
  <rv s="0">
    <fb>58.82</fb>
    <v>0</v>
  </rv>
  <rv s="0">
    <fb>155.46</fb>
    <v>0</v>
  </rv>
  <rv s="0">
    <fb>138.93</fb>
    <v>0</v>
  </rv>
  <rv s="0">
    <fb>141.5</fb>
    <v>0</v>
  </rv>
  <rv s="0">
    <fb>328.26</fb>
    <v>0</v>
  </rv>
  <rv s="0">
    <fb>163.69</fb>
    <v>0</v>
  </rv>
  <rv s="0">
    <fb>105.2</fb>
    <v>0</v>
  </rv>
  <rv s="0">
    <fb>20.397400000000001</fb>
    <v>0</v>
  </rv>
  <rv s="0">
    <fb>40.43</fb>
    <v>0</v>
  </rv>
  <rv s="0">
    <fb>43.01</fb>
    <v>0</v>
  </rv>
  <rv s="0">
    <fb>347.68</fb>
    <v>0</v>
  </rv>
  <rv s="0">
    <fb>281.92</fb>
    <v>0</v>
  </rv>
  <rv s="0">
    <fb>122.31</fb>
    <v>0</v>
  </rv>
  <rv s="0">
    <fb>46.459499999999998</fb>
    <v>0</v>
  </rv>
  <rv s="0">
    <fb>52.47</fb>
    <v>0</v>
  </rv>
  <rv s="0">
    <fb>241.11</fb>
    <v>0</v>
  </rv>
  <rv s="0">
    <fb>430.82</fb>
    <v>0</v>
  </rv>
  <rv s="0">
    <fb>371.32960000000003</fb>
    <v>0</v>
  </rv>
  <rv s="0">
    <fb>84.43</fb>
    <v>0</v>
  </rv>
  <rv s="0">
    <fb>25.567</fb>
    <v>0</v>
  </rv>
  <rv s="0">
    <fb>46.14</fb>
    <v>0</v>
  </rv>
  <rv s="0">
    <fb>323.57</fb>
    <v>0</v>
  </rv>
  <rv s="0">
    <fb>16.809799999999999</fb>
    <v>0</v>
  </rv>
  <rv s="0">
    <fb>36.49</fb>
    <v>0</v>
  </rv>
  <rv s="0">
    <fb>124.08</fb>
    <v>0</v>
  </rv>
  <rv s="0">
    <fb>207.03</fb>
    <v>0</v>
  </rv>
  <rv s="0">
    <fb>35.580599999999997</fb>
    <v>0</v>
  </rv>
  <rv s="0">
    <fb>204.01</fb>
    <v>0</v>
  </rv>
  <rv s="0">
    <fb>254.76</fb>
    <v>0</v>
  </rv>
  <rv s="0">
    <fb>148.04599999999999</fb>
    <v>0</v>
  </rv>
  <rv s="0">
    <fb>149.39080000000001</fb>
    <v>0</v>
  </rv>
  <rv s="0">
    <fb>64.47</fb>
    <v>0</v>
  </rv>
  <rv s="0">
    <fb>143.6</fb>
    <v>0</v>
  </rv>
  <rv s="0">
    <fb>125.1</fb>
    <v>0</v>
  </rv>
  <rv s="0">
    <fb>149.80000000000001</fb>
    <v>0</v>
  </rv>
  <rv s="0">
    <fb>371.74</fb>
    <v>0</v>
  </rv>
  <rv s="0">
    <fb>169.89</fb>
    <v>0</v>
  </rv>
  <rv s="0">
    <fb>110.05</fb>
    <v>0</v>
  </rv>
  <rv s="0">
    <fb>19.075800000000001</fb>
    <v>0</v>
  </rv>
  <rv s="0">
    <fb>40.020000000000003</fb>
    <v>0</v>
  </rv>
  <rv s="0">
    <fb>43.74</fb>
    <v>0</v>
  </rv>
  <rv s="0">
    <fb>335.52</fb>
    <v>0</v>
  </rv>
  <rv s="0">
    <fb>331.62</fb>
    <v>0</v>
  </rv>
  <rv s="0">
    <fb>124.94</fb>
    <v>0</v>
  </rv>
  <rv s="0">
    <fb>49.806199999999997</fb>
    <v>0</v>
  </rv>
  <rv s="0">
    <fb>56.37</fb>
    <v>0</v>
  </rv>
  <rv s="0">
    <fb>245.55</fb>
    <v>0</v>
  </rv>
  <rv s="0">
    <fb>460.99</fb>
    <v>0</v>
  </rv>
  <rv s="0">
    <fb>381.5829</fb>
    <v>0</v>
  </rv>
  <rv s="0">
    <fb>69.819999999999993</fb>
    <v>0</v>
  </rv>
  <rv s="0">
    <fb>32.676000000000002</fb>
    <v>0</v>
  </rv>
  <rv s="0">
    <fb>42.26</fb>
    <v>0</v>
  </rv>
  <rv s="0">
    <fb>324.45999999999998</fb>
    <v>0</v>
  </rv>
  <rv s="0">
    <fb>18.886399999999998</fb>
    <v>0</v>
  </rv>
  <rv s="0">
    <fb>36.630000000000003</fb>
    <v>0</v>
  </rv>
  <rv s="0">
    <fb>121.92</fb>
    <v>0</v>
  </rv>
  <rv s="0">
    <fb>197.85</fb>
    <v>0</v>
  </rv>
  <rv s="0">
    <fb>32.868200000000002</fb>
    <v>0</v>
  </rv>
  <rv s="0">
    <fb>193.35</fb>
    <v>0</v>
  </rv>
  <rv s="0">
    <fb>248.04</fb>
    <v>0</v>
  </rv>
  <rv s="0">
    <fb>141.89750000000001</fb>
    <v>0</v>
  </rv>
  <rv s="0">
    <fb>142.167</fb>
    <v>0</v>
  </rv>
  <rv s="0">
    <fb>59.84</fb>
    <v>0</v>
  </rv>
  <rv s="0">
    <fb>133.54</fb>
    <v>0</v>
  </rv>
  <rv s="0">
    <fb>117.1</fb>
    <v>0</v>
  </rv>
  <rv s="0">
    <fb>165.3</fb>
    <v>0</v>
  </rv>
  <rv s="0">
    <fb>400.61</fb>
    <v>0</v>
  </rv>
  <rv s="0">
    <fb>158.83000000000001</fb>
    <v>0</v>
  </rv>
  <rv s="0">
    <fb>102.26</fb>
    <v>0</v>
  </rv>
  <rv s="0">
    <fb>17.2408</fb>
    <v>0</v>
  </rv>
  <rv s="0">
    <fb>41.53</fb>
    <v>0</v>
  </rv>
  <rv s="0">
    <fb>53.73</fb>
    <v>0</v>
  </rv>
  <rv s="0">
    <fb>314.92</fb>
    <v>0</v>
  </rv>
  <rv s="0">
    <fb>330.59</fb>
    <v>0</v>
  </rv>
  <rv s="0">
    <fb>122.84</fb>
    <v>0</v>
  </rv>
  <rv s="0">
    <fb>46.876199999999997</fb>
    <v>0</v>
  </rv>
  <rv s="0">
    <fb>52.45</fb>
    <v>0</v>
  </rv>
  <rv s="0">
    <fb>244.6</fb>
    <v>0</v>
  </rv>
  <rv s="0">
    <fb>457.63</fb>
    <v>0</v>
  </rv>
  <rv s="0">
    <fb>352.25650000000002</fb>
    <v>0</v>
  </rv>
  <rv s="0">
    <fb>76.900000000000006</fb>
    <v>0</v>
  </rv>
  <rv s="0">
    <fb>29.411000000000001</fb>
    <v>0</v>
  </rv>
  <rv s="0">
    <fb>43.78</fb>
    <v>0</v>
  </rv>
  <rv s="0">
    <fb>336.35</fb>
    <v>0</v>
  </rv>
  <rv s="0">
    <fb>20.441400000000002</fb>
    <v>0</v>
  </rv>
  <rv s="0">
    <fb>37.69</fb>
    <v>0</v>
  </rv>
  <rv s="0">
    <fb>133.47</fb>
    <v>0</v>
  </rv>
  <rv s="0">
    <fb>201.32</fb>
    <v>0</v>
  </rv>
  <rv s="0">
    <fb>34.965000000000003</fb>
    <v>0</v>
  </rv>
  <rv s="0">
    <fb>206.74</fb>
    <v>0</v>
  </rv>
  <rv s="0">
    <fb>276.22000000000003</fb>
    <v>0</v>
  </rv>
  <rv s="0">
    <fb>144.852</fb>
    <v>0</v>
  </rv>
  <rv s="0">
    <fb>148.5129</fb>
    <v>0</v>
  </rv>
  <rv s="0">
    <fb>61.19</fb>
    <v>0</v>
  </rv>
  <rv s="0">
    <fb>136.16999999999999</fb>
    <v>0</v>
  </rv>
  <rv s="0">
    <fb>133.66</fb>
    <v>0</v>
  </rv>
  <rv s="0">
    <fb>177.57</fb>
    <v>0</v>
  </rv>
  <rv s="0">
    <fb>415.01</fb>
    <v>0</v>
  </rv>
  <rv s="0">
    <fb>158.35</fb>
    <v>0</v>
  </rv>
  <rv s="0">
    <fb>108.24</fb>
    <v>0</v>
  </rv>
  <rv s="0">
    <fb>18.577400000000001</fb>
    <v>0</v>
  </rv>
  <rv s="0">
    <fb>45.26</fb>
    <v>0</v>
  </rv>
  <rv s="0">
    <fb>59.05</fb>
    <v>0</v>
  </rv>
  <rv s="0">
    <fb>359.32</fb>
    <v>0</v>
  </rv>
  <rv s="0">
    <fb>336.32</fb>
    <v>0</v>
  </rv>
  <rv s="0">
    <fb>138.86000000000001</fb>
    <v>0</v>
  </rv>
  <rv s="0">
    <fb>48.229500000000002</fb>
    <v>0</v>
  </rv>
  <rv s="0">
    <fb>59.21</fb>
    <v>0</v>
  </rv>
  <rv s="0">
    <fb>268.07</fb>
    <v>0</v>
  </rv>
  <rv s="0">
    <fb>476.99</fb>
    <v>0</v>
  </rv>
  <rv s="0">
    <fb>312.23689999999999</fb>
    <v>0</v>
  </rv>
  <rv s="0">
    <fb>77.81</fb>
    <v>0</v>
  </rv>
  <rv s="0">
    <fb>24.486000000000001</fb>
    <v>0</v>
  </rv>
  <rv s="0">
    <fb>42.88</fb>
    <v>0</v>
  </rv>
  <rv s="0">
    <fb>313.26</fb>
    <v>0</v>
  </rv>
  <rv s="0">
    <fb>19.978899999999999</fb>
    <v>0</v>
  </rv>
  <rv s="0">
    <fb>34.57</fb>
    <v>0</v>
  </rv>
  <rv s="0">
    <fb>123.45</fb>
    <v>0</v>
  </rv>
  <rv s="0">
    <fb>200.24</fb>
    <v>0</v>
  </rv>
  <rv s="0">
    <fb>29.711600000000001</fb>
    <v>0</v>
  </rv>
  <rv s="0">
    <fb>201.56</fb>
    <v>0</v>
  </rv>
  <rv s="0">
    <fb>245.39</fb>
    <v>0</v>
  </rv>
  <rv s="0">
    <fb>135.30350000000001</fb>
    <v>0</v>
  </rv>
  <rv s="0">
    <fb>138.80600000000001</fb>
    <v>0</v>
  </rv>
  <rv s="0">
    <fb>75.959999999999994</fb>
    <v>0</v>
  </rv>
  <rv s="0">
    <fb>124.42</fb>
    <v>0</v>
  </rv>
  <rv s="0">
    <fb>133.57</fb>
    <v>0</v>
  </rv>
  <rv s="0">
    <fb>174.78</fb>
    <v>0</v>
  </rv>
  <rv s="0">
    <fb>366.98</fb>
    <v>0</v>
  </rv>
  <rv s="0">
    <fb>148.6</fb>
    <v>0</v>
  </rv>
  <rv s="0">
    <fb>111.57</fb>
    <v>0</v>
  </rv>
  <rv s="0">
    <fb>19.257100000000001</fb>
    <v>0</v>
  </rv>
  <rv s="0">
    <fb>43.59</fb>
    <v>0</v>
  </rv>
  <rv s="0">
    <fb>52.69</fb>
    <v>0</v>
  </rv>
  <rv s="0">
    <fb>386.38</fb>
    <v>0</v>
  </rv>
  <rv s="0">
    <fb>310.98</fb>
    <v>0</v>
  </rv>
  <rv s="0">
    <fb>125.17</fb>
    <v>0</v>
  </rv>
  <rv s="0">
    <fb>46.602899999999998</fb>
    <v>0</v>
  </rv>
  <rv s="0">
    <fb>61.01</fb>
    <v>0</v>
  </rv>
  <rv s="0">
    <fb>259.45</fb>
    <v>0</v>
  </rv>
  <rv s="0">
    <fb>451.77</fb>
    <v>0</v>
  </rv>
  <rv s="0">
    <fb>290.1404</fb>
    <v>0</v>
  </rv>
  <rv s="0">
    <fb>80.72</fb>
    <v>0</v>
  </rv>
  <rv s="0">
    <fb>24.385000000000002</fb>
    <v>0</v>
  </rv>
  <rv s="0">
    <fb>44.4</fb>
    <v>0</v>
  </rv>
  <rv s="0">
    <fb>211.03</fb>
    <v>0</v>
  </rv>
  <rv s="0">
    <fb>17.2822</fb>
    <v>0</v>
  </rv>
  <rv s="0">
    <fb>41.3</fb>
    <v>0</v>
  </rv>
  <rv s="0">
    <fb>106.82</fb>
    <v>0</v>
  </rv>
  <rv s="0">
    <fb>205.34</fb>
    <v>0</v>
  </rv>
  <rv s="0">
    <fb>30.466999999999999</fb>
    <v>0</v>
  </rv>
  <rv s="0">
    <fb>187.58</fb>
    <v>0</v>
  </rv>
  <rv s="0">
    <fb>249.95</fb>
    <v>0</v>
  </rv>
  <rv s="0">
    <fb>135.05699999999999</fb>
    <v>0</v>
  </rv>
  <rv s="0">
    <fb>124.2833</fb>
    <v>0</v>
  </rv>
  <rv s="0">
    <fb>78.42</fb>
    <v>0</v>
  </rv>
  <rv s="0">
    <fb>110.44</fb>
    <v>0</v>
  </rv>
  <rv s="0">
    <fb>122.51</fb>
    <v>0</v>
  </rv>
  <rv s="0">
    <fb>165.12</fb>
    <v>0</v>
  </rv>
  <rv s="0">
    <fb>315.83</fb>
    <v>0</v>
  </rv>
  <rv s="0">
    <fb>141.80000000000001</fb>
    <v>0</v>
  </rv>
  <rv s="0">
    <fb>111.66</fb>
    <v>0</v>
  </rv>
  <rv s="0">
    <fb>17.8902</fb>
    <v>0</v>
  </rv>
  <rv s="0">
    <fb>46.8</fb>
    <v>0</v>
  </rv>
  <rv s="0">
    <fb>46.94</fb>
    <v>0</v>
  </rv>
  <rv s="0">
    <fb>360.82</fb>
    <v>0</v>
  </rv>
  <rv s="0">
    <fb>298.79000000000002</fb>
    <v>0</v>
  </rv>
  <rv s="0">
    <fb>122.58</fb>
    <v>0</v>
  </rv>
  <rv s="0">
    <fb>45.052900000000001</fb>
    <v>0</v>
  </rv>
  <rv s="0">
    <fb>62.24</fb>
    <v>0</v>
  </rv>
  <rv s="0">
    <fb>244.77</fb>
    <v>0</v>
  </rv>
  <rv s="0">
    <fb>438.72</fb>
    <v>0</v>
  </rv>
  <rv s="0">
    <fb>359.19639999999998</fb>
    <v>0</v>
  </rv>
  <rv s="0">
    <fb>83.78</fb>
    <v>0</v>
  </rv>
  <rv s="0">
    <fb>27.286000000000001</fb>
    <v>0</v>
  </rv>
  <rv s="0">
    <fb>46.36</fb>
    <v>0</v>
  </rv>
  <rv s="0">
    <fb>222.36</fb>
    <v>0</v>
  </rv>
  <rv s="0">
    <fb>16.642499999999998</fb>
    <v>0</v>
  </rv>
  <rv s="0">
    <fb>39.4</fb>
    <v>0</v>
  </rv>
  <rv s="0">
    <fb>105.28</fb>
    <v>0</v>
  </rv>
  <rv s="0">
    <fb>191.5</fb>
    <v>0</v>
  </rv>
  <rv s="0">
    <fb>31.640599999999999</fb>
    <v>0</v>
  </rv>
  <rv s="0">
    <fb>222.82</fb>
    <v>0</v>
  </rv>
  <rv s="0">
    <fb>286.37</fb>
    <v>0</v>
  </rv>
  <rv s="0">
    <fb>139.0675</fb>
    <v>0</v>
  </rv>
  <rv s="0">
    <fb>124.4756</fb>
    <v>0</v>
  </rv>
  <rv s="0">
    <fb>82.59</fb>
    <v>0</v>
  </rv>
  <rv s="0">
    <fb>118.61</fb>
    <v>0</v>
  </rv>
  <rv s="0">
    <fb>130.02000000000001</fb>
    <v>0</v>
  </rv>
  <rv s="0">
    <fb>174.61</fb>
    <v>0</v>
  </rv>
  <rv s="0">
    <fb>299.33</fb>
    <v>0</v>
  </rv>
  <rv s="0">
    <fb>136.32</fb>
    <v>0</v>
  </rv>
  <rv s="0">
    <fb>118.17</fb>
    <v>0</v>
  </rv>
  <rv s="0">
    <fb>17.844899999999999</fb>
    <v>0</v>
  </rv>
  <rv s="0">
    <fb>57.37</fb>
    <v>0</v>
  </rv>
  <rv s="0">
    <fb>51.77</fb>
    <v>0</v>
  </rv>
  <rv s="0">
    <fb>357.38</fb>
    <v>0</v>
  </rv>
  <rv s="0">
    <fb>308.31</fb>
    <v>0</v>
  </rv>
  <rv s="0">
    <fb>118.53</fb>
    <v>0</v>
  </rv>
  <rv s="0">
    <fb>49.639499999999998</fb>
    <v>0</v>
  </rv>
  <rv s="0">
    <fb>62</fb>
    <v>0</v>
  </rv>
  <rv s="0">
    <fb>247.28</fb>
    <v>0</v>
  </rv>
  <rv s="0">
    <fb>453.69</fb>
    <v>0</v>
  </rv>
  <rv s="0">
    <fb>290.25040000000001</fb>
    <v>0</v>
  </rv>
  <rv s="0">
    <fb>77.73</fb>
    <v>0</v>
  </rv>
  <rv s="0">
    <fb>18.547000000000001</fb>
    <v>0</v>
  </rv>
  <rv s="0">
    <fb>50.5</fb>
    <v>0</v>
  </rv>
  <rv s="0">
    <fb>200.47</fb>
    <v>0</v>
  </rv>
  <rv s="0">
    <fb>36.450000000000003</fb>
    <v>0</v>
  </rv>
  <rv s="0">
    <fb>91.05</fb>
    <v>0</v>
  </rv>
  <rv s="0">
    <fb>148.84</fb>
    <v>0</v>
  </rv>
  <rv s="0">
    <fb>29.112200000000001</fb>
    <v>0</v>
  </rv>
  <rv s="0">
    <fb>210.54</fb>
    <v>0</v>
  </rv>
  <rv s="0">
    <fb>292.13</fb>
    <v>0</v>
  </rv>
  <rv s="0">
    <fb>114.1095</fb>
    <v>0</v>
  </rv>
  <rv s="0">
    <fb>120.5795</fb>
    <v>0</v>
  </rv>
  <rv s="0">
    <fb>85.25</fb>
    <v>0</v>
  </rv>
  <rv s="0">
    <fb>109.74</fb>
    <v>0</v>
  </rv>
  <rv s="0">
    <fb>132.21</fb>
    <v>0</v>
  </rv>
  <rv s="0">
    <fb>157.65</fb>
    <v>0</v>
  </rv>
  <rv s="0">
    <fb>300.39999999999998</fb>
    <v>0</v>
  </rv>
  <rv s="0">
    <fb>119.36</fb>
    <v>0</v>
  </rv>
  <rv s="0">
    <fb>108.51</fb>
    <v>0</v>
  </rv>
  <rv s="0">
    <fb>18.86</fb>
    <v>0</v>
  </rv>
  <rv s="0">
    <fb>53.96</fb>
    <v>0</v>
  </rv>
  <rv s="0">
    <fb>49.07</fb>
    <v>0</v>
  </rv>
  <rv s="0">
    <fb>363.38</fb>
    <v>0</v>
  </rv>
  <rv s="0">
    <fb>277.52</fb>
    <v>0</v>
  </rv>
  <rv s="0">
    <fb>117.01</fb>
    <v>0</v>
  </rv>
  <rv s="0">
    <fb>50.996200000000002</fb>
    <v>0</v>
  </rv>
  <rv s="0">
    <fb>64.61</fb>
    <v>0</v>
  </rv>
  <rv s="0">
    <fb>249.16</fb>
    <v>0</v>
  </rv>
  <rv s="0">
    <fb>413.56</fb>
    <v>0</v>
  </rv>
  <rv s="0">
    <fb>252.7508</fb>
    <v>0</v>
  </rv>
  <rv s="0">
    <fb>58.07</fb>
    <v>0</v>
  </rv>
  <rv s="0">
    <fb>18.672000000000001</fb>
    <v>0</v>
  </rv>
  <rv s="0">
    <fb>47.63</fb>
    <v>0</v>
  </rv>
  <rv s="0">
    <fb>193.64</fb>
    <v>0</v>
  </rv>
  <rv s="0">
    <fb>13.4636</fb>
    <v>0</v>
  </rv>
  <rv s="0">
    <fb>35.18</fb>
    <v>0</v>
  </rv>
  <rv s="0">
    <fb>88.01</fb>
    <v>0</v>
  </rv>
  <rv s="0">
    <fb>131.4</fb>
    <v>0</v>
  </rv>
  <rv s="0">
    <fb>28.050999999999998</fb>
    <v>0</v>
  </rv>
  <rv s="0">
    <fb>215.85</fb>
    <v>0</v>
  </rv>
  <rv s="0">
    <fb>313.44</fb>
    <v>0</v>
  </rv>
  <rv s="0">
    <fb>113.762</fb>
    <v>0</v>
  </rv>
  <rv s="0">
    <fb>124.8184</fb>
    <v>0</v>
  </rv>
  <rv s="0">
    <fb>96</fb>
    <v>0</v>
  </rv>
  <rv s="0">
    <fb>105.62</fb>
    <v>0</v>
  </rv>
  <rv s="0">
    <fb>138.84</fb>
    <v>0</v>
  </rv>
  <rv s="0">
    <fb>302.75</fb>
    <v>0</v>
  </rv>
  <rv s="0">
    <fb>132.22999999999999</fb>
    <v>0</v>
  </rv>
  <rv s="0">
    <fb>106.25</fb>
    <v>0</v>
  </rv>
  <rv s="0">
    <fb>21.29</fb>
    <v>0</v>
  </rv>
  <rv s="0">
    <fb>52.97</fb>
    <v>0</v>
  </rv>
  <rv s="0">
    <fb>53.04</fb>
    <v>0</v>
  </rv>
  <rv s="0">
    <fb>357.87</fb>
    <v>0</v>
  </rv>
  <rv s="0">
    <fb>271.87</fb>
    <v>0</v>
  </rv>
  <rv s="0">
    <fb>121.47</fb>
    <v>0</v>
  </rv>
  <rv s="0">
    <fb>42.876199999999997</fb>
    <v>0</v>
  </rv>
  <rv s="0">
    <fb>63.38</fb>
    <v>0</v>
  </rv>
  <rv s="0">
    <fb>252.21</fb>
    <v>0</v>
  </rv>
  <rv s="0">
    <fb>414.87</fb>
    <v>0</v>
  </rv>
  <rv s="0">
    <fb>224.47110000000001</fb>
    <v>0</v>
  </rv>
  <rv s="0">
    <fb>34.909999999999997</fb>
    <v>0</v>
  </rv>
  <rv s="0">
    <fb>15.159000000000001</fb>
    <v>0</v>
  </rv>
  <rv s="0">
    <fb>35.42</fb>
    <v>0</v>
  </rv>
  <rv s="0">
    <fb>161.25</fb>
    <v>0</v>
  </rv>
  <rv s="0">
    <fb>10.953900000000001</fb>
    <v>0</v>
  </rv>
  <rv s="0">
    <fb>31.66</fb>
    <v>0</v>
  </rv>
  <rv s="0">
    <fb>83.52</fb>
    <v>0</v>
  </rv>
  <rv s="0">
    <fb>136.72</fb>
    <v>0</v>
  </rv>
  <rv s="0">
    <fb>26.145199999999999</fb>
    <v>0</v>
  </rv>
  <rv s="0">
    <fb>178.76</fb>
    <v>0</v>
  </rv>
  <rv s="0">
    <fb>324.23</fb>
    <v>0</v>
  </rv>
  <rv s="0">
    <fb>108.96299999999999</fb>
    <v>0</v>
  </rv>
  <rv s="0">
    <fb>108.19710000000001</fb>
    <v>0</v>
  </rv>
  <rv s="0">
    <fb>85.64</fb>
    <v>0</v>
  </rv>
  <rv s="0">
    <fb>98.25</fb>
    <v>0</v>
  </rv>
  <rv s="0">
    <fb>141.19</fb>
    <v>0</v>
  </rv>
  <rv s="0">
    <fb>274.27</fb>
    <v>0</v>
  </rv>
  <rv s="0">
    <fb>112.61</fb>
    <v>0</v>
  </rv>
  <rv s="0">
    <fb>95.68</fb>
    <v>0</v>
  </rv>
  <rv s="0">
    <fb>20.96</fb>
    <v>0</v>
  </rv>
  <rv s="0">
    <fb>47.33</fb>
    <v>0</v>
  </rv>
  <rv s="0">
    <fb>52.43</fb>
    <v>0</v>
  </rv>
  <rv s="0">
    <fb>315.48</fb>
    <v>0</v>
  </rv>
  <rv s="0">
    <fb>256.83</fb>
    <v>0</v>
  </rv>
  <rv s="0">
    <fb>113.51</fb>
    <v>0</v>
  </rv>
  <rv s="0">
    <fb>40.526299999999999</fb>
    <v>0</v>
  </rv>
  <rv s="0">
    <fb>62.91</fb>
    <v>0</v>
  </rv>
  <rv s="0">
    <fb>246.88</fb>
    <v>0</v>
  </rv>
  <rv s="0">
    <fb>379.15</fb>
    <v>0</v>
  </rv>
  <rv s="0">
    <fb>297.14699999999999</fb>
    <v>0</v>
  </rv>
  <rv s="0">
    <fb>38.71</fb>
    <v>0</v>
  </rv>
  <rv s="0">
    <fb>18.163</fb>
    <v>0</v>
  </rv>
  <rv s="0">
    <fb>36.75</fb>
    <v>0</v>
  </rv>
  <rv s="0">
    <fb>159.1</fb>
    <v>0</v>
  </rv>
  <rv s="0">
    <fb>14.457599999999999</fb>
    <v>0</v>
  </rv>
  <rv s="0">
    <fb>37.81</fb>
    <v>0</v>
  </rv>
  <rv s="0">
    <fb>95.89</fb>
    <v>0</v>
  </rv>
  <rv s="0">
    <fb>159.31</fb>
    <v>0</v>
  </rv>
  <rv s="0">
    <fb>31.284400000000002</fb>
    <v>0</v>
  </rv>
  <rv s="0">
    <fb>198.25</fb>
    <v>0</v>
  </rv>
  <rv s="0">
    <fb>329.69</fb>
    <v>0</v>
  </rv>
  <rv s="0">
    <fb>116.32</fb>
    <v>0</v>
  </rv>
  <rv s="0">
    <fb>119.76009999999999</fb>
    <v>0</v>
  </rv>
  <rv s="0">
    <fb>96.93</fb>
    <v>0</v>
  </rv>
  <rv s="0">
    <fb>97.62</fb>
    <v>0</v>
  </rv>
  <rv s="0">
    <fb>130.79</fb>
    <v>0</v>
  </rv>
  <rv s="0">
    <fb>162.51</fb>
    <v>0</v>
  </rv>
  <rv s="0">
    <fb>300.94</fb>
    <v>0</v>
  </rv>
  <rv s="0">
    <fb>115.36</fb>
    <v>0</v>
  </rv>
  <rv s="0">
    <fb>99.99</fb>
    <v>0</v>
  </rv>
  <rv s="0">
    <fb>18.78</fb>
    <v>0</v>
  </rv>
  <rv s="0">
    <fb>46.44</fb>
    <v>0</v>
  </rv>
  <rv s="0">
    <fb>50.51</fb>
    <v>0</v>
  </rv>
  <rv s="0">
    <fb>353.79</fb>
    <v>0</v>
  </rv>
  <rv s="0">
    <fb>280.74</fb>
    <v>0</v>
  </rv>
  <rv s="0">
    <fb>122.54</fb>
    <v>0</v>
  </rv>
  <rv s="0">
    <fb>44.016199999999998</fb>
    <v>0</v>
  </rv>
  <rv s="0">
    <fb>64.17</fb>
    <v>0</v>
  </rv>
  <rv s="0">
    <fb>263.37</fb>
    <v>0</v>
  </rv>
  <rv s="0">
    <fb>414.28</fb>
    <v>0</v>
  </rv>
  <rv s="0">
    <fb>275.61</fb>
    <v>0</v>
  </rv>
  <rv s="0">
    <fb>40.85</fb>
    <v>0</v>
  </rv>
  <rv s="0">
    <fb>15.093999999999999</fb>
    <v>0</v>
  </rv>
  <rv s="0">
    <fb>35.01</fb>
    <v>0</v>
  </rv>
  <rv s="0">
    <fb>162.93</fb>
    <v>0</v>
  </rv>
  <rv s="0">
    <fb>14.998900000000001</fb>
    <v>0</v>
  </rv>
  <rv s="0">
    <fb>38.57</fb>
    <v>0</v>
  </rv>
  <rv s="0">
    <fb>80.83</fb>
    <v>0</v>
  </rv>
  <rv s="0">
    <fb>160.25</fb>
    <v>0</v>
  </rv>
  <rv s="0">
    <fb>31.936</fb>
    <v>0</v>
  </rv>
  <rv s="0">
    <fb>184.71</fb>
    <v>0</v>
  </rv>
  <rv s="0">
    <fb>301.23</fb>
    <v>0</v>
  </rv>
  <rv s="0">
    <fb>108.22</fb>
    <v>0</v>
  </rv>
  <rv s="0">
    <fb>103.9665</fb>
    <v>0</v>
  </rv>
  <rv s="0">
    <fb>95.59</fb>
    <v>0</v>
  </rv>
  <rv s="0">
    <fb>88.49</fb>
    <v>0</v>
  </rv>
  <rv s="0">
    <fb>128.44999999999999</fb>
    <v>0</v>
  </rv>
  <rv s="0">
    <fb>157.22</fb>
    <v>0</v>
  </rv>
  <rv s="0">
    <fb>288.42</fb>
    <v>0</v>
  </rv>
  <rv s="0">
    <fb>113.73</fb>
    <v>0</v>
  </rv>
  <rv s="0">
    <fb>95.75</fb>
    <v>0</v>
  </rv>
  <rv s="0">
    <fb>17.54</fb>
    <v>0</v>
  </rv>
  <rv s="0">
    <fb>47.94</fb>
    <v>0</v>
  </rv>
  <rv s="0">
    <fb>45.23</fb>
    <v>0</v>
  </rv>
  <rv s="0">
    <fb>324.37</fb>
    <v>0</v>
  </rv>
  <rv s="0">
    <fb>261.47000000000003</fb>
    <v>0</v>
  </rv>
  <rv s="0">
    <fb>111.24</fb>
    <v>0</v>
  </rv>
  <rv s="0">
    <fb>44.182899999999997</fb>
    <v>0</v>
  </rv>
  <rv s="0">
    <fb>61.71</fb>
    <v>0</v>
  </rv>
  <rv s="0">
    <fb>252.28</fb>
    <v>0</v>
  </rv>
  <rv s="0">
    <fb>397.18</fb>
    <v>0</v>
  </rv>
  <rv s="0">
    <fb>265.25</fb>
    <v>0</v>
  </rv>
  <rv s="0">
    <fb>37.9</fb>
    <v>0</v>
  </rv>
  <rv s="0">
    <fb>12.138999999999999</fb>
    <v>0</v>
  </rv>
  <rv s="0">
    <fb>32.53</fb>
    <v>0</v>
  </rv>
  <rv s="0">
    <fb>135.68</fb>
    <v>0</v>
  </rv>
  <rv s="0">
    <fb>11.0228</fb>
    <v>0</v>
  </rv>
  <rv s="0">
    <fb>34.880000000000003</fb>
    <v>0</v>
  </rv>
  <rv s="0">
    <fb>70.010000000000005</fb>
    <v>0</v>
  </rv>
  <rv s="0">
    <fb>121.08</fb>
    <v>0</v>
  </rv>
  <rv s="0">
    <fb>30.055199999999999</fb>
    <v>0</v>
  </rv>
  <rv s="0">
    <fb>164.08</fb>
    <v>0</v>
  </rv>
  <rv s="0">
    <fb>323.35000000000002</fb>
    <v>0</v>
  </rv>
  <rv s="0">
    <fb>95.65</fb>
    <v>0</v>
  </rv>
  <rv s="0">
    <fb>92.386799999999994</fb>
    <v>0</v>
  </rv>
  <rv s="0">
    <fb>87.31</fb>
    <v>0</v>
  </rv>
  <rv s="0">
    <fb>80.31</fb>
    <v>0</v>
  </rv>
  <rv s="0">
    <fb>118.81</fb>
    <v>0</v>
  </rv>
  <rv s="0">
    <fb>138.19999999999999</fb>
    <v>0</v>
  </rv>
  <rv s="0">
    <fb>275.94</fb>
    <v>0</v>
  </rv>
  <rv s="0">
    <fb>104.5</fb>
    <v>0</v>
  </rv>
  <rv s="0">
    <fb>85.78</fb>
    <v>0</v>
  </rv>
  <rv s="0">
    <fb>15.34</fb>
    <v>0</v>
  </rv>
  <rv s="0">
    <fb>43.75</fb>
    <v>0</v>
  </rv>
  <rv s="0">
    <fb>43.76</fb>
    <v>0</v>
  </rv>
  <rv s="0">
    <fb>284.33999999999997</fb>
    <v>0</v>
  </rv>
  <rv s="0">
    <fb>232.9</fb>
    <v>0</v>
  </rv>
  <rv s="0">
    <fb>106.34</fb>
    <v>0</v>
  </rv>
  <rv s="0">
    <fb>43.232900000000001</fb>
    <v>0</v>
  </rv>
  <rv s="0">
    <fb>56.02</fb>
    <v>0</v>
  </rv>
  <rv s="0">
    <fb>230.74</fb>
    <v>0</v>
  </rv>
  <rv s="0">
    <fb>358.65</fb>
    <v>0</v>
  </rv>
  <rv s="0">
    <fb>227.54</fb>
    <v>0</v>
  </rv>
  <rv s="0">
    <fb>53.38</fb>
    <v>0</v>
  </rv>
  <rv s="0">
    <fb>13.497</fb>
    <v>0</v>
  </rv>
  <rv s="0">
    <fb>43.08</fb>
    <v>0</v>
  </rv>
  <rv s="0">
    <fb>93.16</fb>
    <v>0</v>
  </rv>
  <rv s="0">
    <fb>13.1585</fb>
    <v>0</v>
  </rv>
  <rv s="0">
    <fb>43</fb>
    <v>0</v>
  </rv>
  <rv s="0">
    <fb>72.63</fb>
    <v>0</v>
  </rv>
  <rv s="0">
    <fb>142.51</fb>
    <v>0</v>
  </rv>
  <rv s="0">
    <fb>29.9666</fb>
    <v>0</v>
  </rv>
  <rv s="0">
    <fb>216.46</fb>
    <v>0</v>
  </rv>
  <rv s="0">
    <fb>362.09</fb>
    <v>0</v>
  </rv>
  <rv s="0">
    <fb>94.51</fb>
    <v>0</v>
  </rv>
  <rv s="0">
    <fb>105.1705</fb>
    <v>0</v>
  </rv>
  <rv s="0">
    <fb>110.81</fb>
    <v>0</v>
  </rv>
  <rv s="0">
    <fb>88.04</fb>
    <v>0</v>
  </rv>
  <rv s="0">
    <fb>138.29</fb>
    <v>0</v>
  </rv>
  <rv s="0">
    <fb>153.34</fb>
    <v>0</v>
  </rv>
  <rv s="0">
    <fb>296.13</fb>
    <v>0</v>
  </rv>
  <rv s="0">
    <fb>105.19</fb>
    <v>0</v>
  </rv>
  <rv s="0">
    <fb>18.23</fb>
    <v>0</v>
  </rv>
  <rv s="0">
    <fb>47.29</fb>
    <v>0</v>
  </rv>
  <rv s="0">
    <fb>46.55</fb>
    <v>0</v>
  </rv>
  <rv s="0">
    <fb>328.18</fb>
    <v>0</v>
  </rv>
  <rv s="0">
    <fb>232.13</fb>
    <v>0</v>
  </rv>
  <rv s="0">
    <fb>118.25</fb>
    <v>0</v>
  </rv>
  <rv s="0">
    <fb>47.442900000000002</fb>
    <v>0</v>
  </rv>
  <rv s="0">
    <fb>59.85</fb>
    <v>0</v>
  </rv>
  <rv s="0">
    <fb>272.66000000000003</fb>
    <v>0</v>
  </rv>
  <rv s="0">
    <fb>387.79</fb>
    <v>0</v>
  </rv>
  <rv s="0">
    <fb>194.7</fb>
    <v>0</v>
  </rv>
  <rv s="0">
    <fb>59.93</fb>
    <v>0</v>
  </rv>
  <rv s="0">
    <fb>16.922999999999998</fb>
    <v>0</v>
  </rv>
  <rv s="0">
    <fb>44.17</fb>
    <v>0</v>
  </rv>
  <rv s="0">
    <fb>118.1</fb>
    <v>0</v>
  </rv>
  <rv s="0">
    <fb>13.680099999999999</fb>
    <v>0</v>
  </rv>
  <rv s="0">
    <fb>47.13</fb>
    <v>0</v>
  </rv>
  <rv s="0">
    <fb>83.26</fb>
    <v>0</v>
  </rv>
  <rv s="0">
    <fb>178.88</fb>
    <v>0</v>
  </rv>
  <rv s="0">
    <fb>32.539200000000001</fb>
    <v>0</v>
  </rv>
  <rv s="0">
    <fb>236.41</fb>
    <v>0</v>
  </rv>
  <rv s="0">
    <fb>371.08</fb>
    <v>0</v>
  </rv>
  <rv s="0">
    <fb>100.99</fb>
    <v>0</v>
  </rv>
  <rv s="0">
    <fb>105.321</fb>
    <v>0</v>
  </rv>
  <rv s="0">
    <fb>111.34</fb>
    <v>0</v>
  </rv>
  <rv s="0">
    <fb>92.99</fb>
    <v>0</v>
  </rv>
  <rv s="0">
    <fb>148.9</fb>
    <v>0</v>
  </rv>
  <rv s="0">
    <fb>148.03</fb>
    <v>0</v>
  </rv>
  <rv s="0">
    <fb>323.99</fb>
    <v>0</v>
  </rv>
  <rv s="0">
    <fb>138.18</fb>
    <v>0</v>
  </rv>
  <rv s="0">
    <fb>108.03</fb>
    <v>0</v>
  </rv>
  <rv s="0">
    <fb>19.28</fb>
    <v>0</v>
  </rv>
  <rv s="0">
    <fb>49.19</fb>
    <v>0</v>
  </rv>
  <rv s="0">
    <fb>50.13</fb>
    <v>0</v>
  </rv>
  <rv s="0">
    <fb>356.4</fb>
    <v>0</v>
  </rv>
  <rv s="0">
    <fb>255.14</fb>
    <v>0</v>
  </rv>
  <rv s="0">
    <fb>128.66</fb>
    <v>0</v>
  </rv>
  <rv s="0">
    <fb>50.806199999999997</fb>
    <v>0</v>
  </rv>
  <rv s="0">
    <fb>63.61</fb>
    <v>0</v>
  </rv>
  <rv s="0">
    <fb>272.79000000000002</fb>
    <v>0</v>
  </rv>
  <rv s="0">
    <fb>409.32</fb>
    <v>0</v>
  </rv>
  <rv s="0">
    <fb>123.18</fb>
    <v>0</v>
  </rv>
  <rv s="0">
    <fb>49.43</fb>
    <v>0</v>
  </rv>
  <rv s="0">
    <fb>14.614000000000001</fb>
    <v>0</v>
  </rv>
  <rv s="0">
    <fb>37.700000000000003</fb>
    <v>0</v>
  </rv>
  <rv s="0">
    <fb>120.34</fb>
    <v>0</v>
  </rv>
  <rv s="0">
    <fb>11.446</fb>
    <v>0</v>
  </rv>
  <rv s="0">
    <fb>41.6</fb>
    <v>0</v>
  </rv>
  <rv s="0">
    <fb>82.31</fb>
    <v>0</v>
  </rv>
  <rv s="0">
    <fb>190.49</fb>
    <v>0</v>
  </rv>
  <rv s="0">
    <fb>27.7498</fb>
    <v>0</v>
  </rv>
  <rv s="0">
    <fb>365.84</fb>
    <v>0</v>
  </rv>
  <rv s="0">
    <fb>88.23</fb>
    <v>0</v>
  </rv>
  <rv s="0">
    <fb>100.2627</fb>
    <v>0</v>
  </rv>
  <rv s="0">
    <fb>110.3</fb>
    <v>0</v>
  </rv>
  <rv s="0">
    <fb>92.29</fb>
    <v>0</v>
  </rv>
  <rv s="0">
    <fb>140.88999999999999</fb>
    <v>0</v>
  </rv>
  <rv s="0">
    <fb>129.93</fb>
    <v>0</v>
  </rv>
  <rv s="0">
    <fb>315.86</fb>
    <v>0</v>
  </rv>
  <rv s="0">
    <fb>134.1</fb>
    <v>0</v>
  </rv>
  <rv s="0">
    <fb>99.46</fb>
    <v>0</v>
  </rv>
  <rv s="0">
    <fb>18.41</fb>
    <v>0</v>
  </rv>
  <rv s="0">
    <fb>44.58</fb>
    <v>0</v>
  </rv>
  <rv s="0">
    <fb>51.24</fb>
    <v>0</v>
  </rv>
  <rv s="0">
    <fb>347.73</fb>
    <v>0</v>
  </rv>
  <rv s="0">
    <fb>239.82</fb>
    <v>0</v>
  </rv>
  <rv s="0">
    <fb>128.08000000000001</fb>
    <v>0</v>
  </rv>
  <rv s="0">
    <fb>47.262900000000002</fb>
    <v>0</v>
  </rv>
  <rv s="0">
    <fb>263.52999999999997</fb>
    <v>0</v>
  </rv>
  <rv s="0">
    <fb>384.21</fb>
    <v>0</v>
  </rv>
  <rv s="0">
    <fb>173.22</fb>
    <v>0</v>
  </rv>
  <rv s="0">
    <fb>64.94</fb>
    <v>0</v>
  </rv>
  <rv s="0">
    <fb>19.536999999999999</fb>
    <v>0</v>
  </rv>
  <rv s="0">
    <fb>48.96</fb>
    <v>0</v>
  </rv>
  <rv s="0">
    <fb>148.97</fb>
    <v>0</v>
  </rv>
  <rv s="0">
    <fb>13.2963</fb>
    <v>0</v>
  </rv>
  <rv s="0">
    <fb>89.69</fb>
    <v>0</v>
  </rv>
  <rv s="0">
    <fb>213</fb>
    <v>0</v>
  </rv>
  <rv s="0">
    <fb>32.927599999999998</fb>
    <v>0</v>
  </rv>
  <rv s="0">
    <fb>252.29</fb>
    <v>0</v>
  </rv>
  <rv s="0">
    <fb>344.15</fb>
    <v>0</v>
  </rv>
  <rv s="0">
    <fb>98.84</fb>
    <v>0</v>
  </rv>
  <rv s="0">
    <fb>96.216099999999997</fb>
    <v>0</v>
  </rv>
  <rv s="0">
    <fb>116.01</fb>
    <v>0</v>
  </rv>
  <rv s="0">
    <fb>98.88</fb>
    <v>0</v>
  </rv>
  <rv s="0">
    <fb>134.72999999999999</fb>
    <v>0</v>
  </rv>
  <rv s="0">
    <fb>144.29</fb>
    <v>0</v>
  </rv>
  <rv s="0">
    <fb>324.17</fb>
    <v>0</v>
  </rv>
  <rv s="0">
    <fb>139.96</fb>
    <v>0</v>
  </rv>
  <rv s="0">
    <fb>104.94</fb>
    <v>0</v>
  </rv>
  <rv s="0">
    <fb>20.37</fb>
    <v>0</v>
  </rv>
  <rv s="0">
    <fb>44.63</fb>
    <v>0</v>
  </rv>
  <rv s="0">
    <fb>44.16</fb>
    <v>0</v>
  </rv>
  <rv s="0">
    <fb>370.6</fb>
    <v>0</v>
  </rv>
  <rv s="0">
    <fb>247.81</fb>
    <v>0</v>
  </rv>
  <rv s="0">
    <fb>130.51</fb>
    <v>0</v>
  </rv>
  <rv s="0">
    <fb>47.956200000000003</fb>
    <v>0</v>
  </rv>
  <rv s="0">
    <fb>61.32</fb>
    <v>0</v>
  </rv>
  <rv s="0">
    <fb>267.39999999999998</fb>
    <v>0</v>
  </rv>
  <rv s="0">
    <fb>408.31</fb>
    <v>0</v>
  </rv>
  <rv s="0">
    <fb>205.71</fb>
    <v>0</v>
  </rv>
  <rv s="0">
    <fb>70.64</fb>
    <v>0</v>
  </rv>
  <rv s="0">
    <fb>23.216000000000001</fb>
    <v>0</v>
  </rv>
  <rv s="0">
    <fb>51.96</fb>
    <v>0</v>
  </rv>
  <rv s="0">
    <fb>174.94</fb>
    <v>0</v>
  </rv>
  <rv s="0">
    <fb>11.879099999999999</fb>
    <v>0</v>
  </rv>
  <rv s="0">
    <fb>47.55</fb>
    <v>0</v>
  </rv>
  <rv s="0">
    <fb>83.95</fb>
    <v>0</v>
  </rv>
  <rv s="0">
    <fb>201.55</fb>
    <v>0</v>
  </rv>
  <rv s="0">
    <fb>29.8216</fb>
    <v>0</v>
  </rv>
  <rv s="0">
    <fb>239.55</fb>
    <v>0</v>
  </rv>
  <rv s="0">
    <fb>311.22000000000003</fb>
    <v>0</v>
  </rv>
  <rv s="0">
    <fb>90.06</fb>
    <v>0</v>
  </rv>
  <rv s="0">
    <fb>90.079300000000003</fb>
    <v>0</v>
  </rv>
  <rv s="0">
    <fb>109.91</fb>
    <v>0</v>
  </rv>
  <rv s="0">
    <fb>98.13</fb>
    <v>0</v>
  </rv>
  <rv s="0">
    <fb>129.30000000000001</fb>
    <v>0</v>
  </rv>
  <rv s="0">
    <fb>147.41</fb>
    <v>0</v>
  </rv>
  <rv s="0">
    <fb>296.54000000000002</fb>
    <v>0</v>
  </rv>
  <rv s="0">
    <fb>143.35</fb>
    <v>0</v>
  </rv>
  <rv s="0">
    <fb>100</fb>
    <v>0</v>
  </rv>
  <rv s="0">
    <fb>18.91</fb>
    <v>0</v>
  </rv>
  <rv s="0">
    <fb>43.14</fb>
    <v>0</v>
  </rv>
  <rv s="0">
    <fb>40.57</fb>
    <v>0</v>
  </rv>
  <rv s="0">
    <fb>355.29</fb>
    <v>0</v>
  </rv>
  <rv s="0">
    <fb>249.42</fb>
    <v>0</v>
  </rv>
  <rv s="0">
    <fb>127.16</fb>
    <v>0</v>
  </rv>
  <rv s="0">
    <fb>47.376199999999997</fb>
    <v>0</v>
  </rv>
  <rv s="0">
    <fb>59.51</fb>
    <v>0</v>
  </rv>
  <rv s="0">
    <fb>263.91000000000003</fb>
    <v>0</v>
  </rv>
  <rv s="0">
    <fb>397.97</fb>
    <v>0</v>
  </rv>
  <rv s="0">
    <fb>207.46</fb>
    <v>0</v>
  </rv>
  <rv s="0">
    <fb>65.3</fb>
    <v>0</v>
  </rv>
  <rv s="0">
    <fb>27.777000000000001</fb>
    <v>0</v>
  </rv>
  <rv s="0">
    <fb>44.25</fb>
    <v>0</v>
  </rv>
  <rv s="0">
    <fb>211.94</fb>
    <v>0</v>
  </rv>
  <rv s="0">
    <fb>12.400700000000001</fb>
    <v>0</v>
  </rv>
  <rv s="0">
    <fb>37.97</fb>
    <v>0</v>
  </rv>
  <rv s="0">
    <fb>74.930000000000007</fb>
    <v>0</v>
  </rv>
  <rv s="0">
    <fb>212.43</fb>
    <v>0</v>
  </rv>
  <rv s="0">
    <fb>34.165799999999997</fb>
    <v>0</v>
  </rv>
  <rv s="0">
    <fb>228.84</fb>
    <v>0</v>
  </rv>
  <rv s="0">
    <fb>343.42</fb>
    <v>0</v>
  </rv>
  <rv s="0">
    <fb>103.73</fb>
    <v>0</v>
  </rv>
  <rv s="0">
    <fb>87.880399999999995</fb>
    <v>0</v>
  </rv>
  <rv s="0">
    <fb>109.66</fb>
    <v>0</v>
  </rv>
  <rv s="0">
    <fb>100.92</fb>
    <v>0</v>
  </rv>
  <rv s="0">
    <fb>131.09</fb>
    <v>0</v>
  </rv>
  <rv s="0">
    <fb>164.9</fb>
    <v>0</v>
  </rv>
  <rv s="0">
    <fb>295.12</fb>
    <v>0</v>
  </rv>
  <rv s="0">
    <fb>130.31</fb>
    <v>0</v>
  </rv>
  <rv s="0">
    <fb>82.74</fb>
    <v>0</v>
  </rv>
  <rv s="0">
    <fb>19.25</fb>
    <v>0</v>
  </rv>
  <rv s="0">
    <fb>49.37</fb>
    <v>0</v>
  </rv>
  <rv s="0">
    <fb>40.799999999999997</fb>
    <v>0</v>
  </rv>
  <rv s="0">
    <fb>363.41</fb>
    <v>0</v>
  </rv>
  <rv s="0">
    <fb>288.3</fb>
    <v>0</v>
  </rv>
  <rv s="0">
    <fb>132.08000000000001</fb>
    <v>0</v>
  </rv>
  <rv s="0">
    <fb>49.149500000000003</fb>
    <v>0</v>
  </rv>
  <rv s="0">
    <fb>62.03</fb>
    <v>0</v>
  </rv>
  <rv s="0">
    <fb>279.61</fb>
    <v>0</v>
  </rv>
  <rv s="0">
    <fb>411.08</fb>
    <v>0</v>
  </rv>
  <rv s="0">
    <fb>164.31</fb>
    <v>0</v>
  </rv>
  <rv s="0">
    <fb>65.430000000000007</fb>
    <v>0</v>
  </rv>
  <rv s="0">
    <fb>27.748999999999999</fb>
    <v>0</v>
  </rv>
  <rv s="0">
    <fb>43.8</fb>
    <v>0</v>
  </rv>
  <rv s="0">
    <fb>240.32</fb>
    <v>0</v>
  </rv>
  <rv s="0">
    <fb>11.6921</fb>
    <v>0</v>
  </rv>
  <rv s="0">
    <fb>37.1</fb>
    <v>0</v>
  </rv>
  <rv s="0">
    <fb>74.790000000000006</fb>
    <v>0</v>
  </rv>
  <rv s="0">
    <fb>206.78</fb>
    <v>0</v>
  </rv>
  <rv s="0">
    <fb>41.352400000000003</fb>
    <v>0</v>
  </rv>
  <rv s="0">
    <fb>218.8</fb>
    <v>0</v>
  </rv>
  <rv s="0">
    <fb>395.86</fb>
    <v>0</v>
  </rv>
  <rv s="0">
    <fb>107.34</fb>
    <v>0</v>
  </rv>
  <rv s="0">
    <fb>88.808400000000006</fb>
    <v>0</v>
  </rv>
  <rv s="0">
    <fb>118.34</fb>
    <v>0</v>
  </rv>
  <rv s="0">
    <fb>98.17</fb>
    <v>0</v>
  </rv>
  <rv s="0">
    <fb>126.41</fb>
    <v>0</v>
  </rv>
  <rv s="0">
    <fb>169.68</fb>
    <v>0</v>
  </rv>
  <rv s="0">
    <fb>300.54000000000002</fb>
    <v>0</v>
  </rv>
  <rv s="0">
    <fb>138.24</fb>
    <v>0</v>
  </rv>
  <rv s="0">
    <fb>87</fb>
    <v>0</v>
  </rv>
  <rv s="0">
    <fb>17.670000000000002</fb>
    <v>0</v>
  </rv>
  <rv s="0">
    <fb>48.63</fb>
    <v>0</v>
  </rv>
  <rv s="0">
    <fb>38.89</fb>
    <v>0</v>
  </rv>
  <rv s="0">
    <fb>380.03</fb>
    <v>0</v>
  </rv>
  <rv s="0">
    <fb>307.26</fb>
    <v>0</v>
  </rv>
  <rv s="0">
    <fb>140.58000000000001</fb>
    <v>0</v>
  </rv>
  <rv s="0">
    <fb>50.322800000000001</fb>
    <v>0</v>
  </rv>
  <rv s="0">
    <fb>64.150000000000006</fb>
    <v>0</v>
  </rv>
  <rv s="0">
    <fb>295.75</fb>
    <v>0</v>
  </rv>
  <rv s="0">
    <fb>417.66</fb>
    <v>0</v>
  </rv>
  <rv s="0">
    <fb>203.93</fb>
    <v>0</v>
  </rv>
  <rv s="0">
    <fb>80.97</fb>
    <v>0</v>
  </rv>
  <rv s="0">
    <fb>37.834000000000003</fb>
    <v>0</v>
  </rv>
  <rv s="0">
    <fb>47.465000000000003</fb>
    <v>0</v>
  </rv>
  <rv s="0">
    <fb>264.72000000000003</fb>
    <v>0</v>
  </rv>
  <rv s="0">
    <fb>11.8102</fb>
    <v>0</v>
  </rv>
  <rv s="0">
    <fb>31.11</fb>
    <v>0</v>
  </rv>
  <rv s="0">
    <fb>70.11</fb>
    <v>0</v>
  </rv>
  <rv s="0">
    <fb>205.7</fb>
    <v>0</v>
  </rv>
  <rv s="0">
    <fb>41.529800000000002</fb>
    <v>0</v>
  </rv>
  <rv s="0">
    <fb>205.75</fb>
    <v>0</v>
  </rv>
  <rv s="0">
    <fb>429.46</fb>
    <v>0</v>
  </rv>
  <rv s="0">
    <fb>122.87</fb>
    <v>0</v>
  </rv>
  <rv s="0">
    <fb>78.014600000000002</fb>
    <v>0</v>
  </rv>
  <rv s="0">
    <fb>102.18</fb>
    <v>0</v>
  </rv>
  <rv s="0">
    <fb>103.15</fb>
    <v>0</v>
  </rv>
  <rv s="0">
    <fb>128.59</fb>
    <v>0</v>
  </rv>
  <rv s="0">
    <fb>177.25</fb>
    <v>0</v>
  </rv>
  <rv s="0">
    <fb>283.45</fb>
    <v>0</v>
  </rv>
  <rv s="0">
    <fb>135.71</fb>
    <v>0</v>
  </rv>
  <rv s="0">
    <fb>78.69</fb>
    <v>0</v>
  </rv>
  <rv s="0">
    <fb>15.73</fb>
    <v>0</v>
  </rv>
  <rv s="0">
    <fb>45.33</fb>
    <v>0</v>
  </rv>
  <rv s="0">
    <fb>38.020000000000003</fb>
    <v>0</v>
  </rv>
  <rv s="0">
    <fb>365.02</fb>
    <v>0</v>
  </rv>
  <rv s="0">
    <fb>328.39</fb>
    <v>0</v>
  </rv>
  <rv s="0">
    <fb>128.69</fb>
    <v>0</v>
  </rv>
  <rv s="0">
    <fb>48.956200000000003</fb>
    <v>0</v>
  </rv>
  <rv s="0">
    <fb>59.66</fb>
    <v>0</v>
  </rv>
  <rv s="0">
    <fb>285.11</fb>
    <v>0</v>
  </rv>
  <rv s="0">
    <fb>419.43</fb>
    <v>0</v>
  </rv>
  <rv s="0">
    <fb>261.77</fb>
    <v>0</v>
  </rv>
  <rv s="0">
    <fb>103.74</fb>
    <v>0</v>
  </rv>
  <rv s="0">
    <fb>42.302</fb>
    <v>0</v>
  </rv>
  <rv s="0">
    <fb>54.87</fb>
    <v>0</v>
  </rv>
  <rv s="0">
    <fb>286.98</fb>
    <v>0</v>
  </rv>
  <rv s="0">
    <fb>14.890599999999999</fb>
    <v>0</v>
  </rv>
  <rv s="0">
    <fb>35.21</fb>
    <v>0</v>
  </rv>
  <rv s="0">
    <fb>73.83</fb>
    <v>0</v>
  </rv>
  <rv s="0">
    <fb>211.16</fb>
    <v>0</v>
  </rv>
  <rv s="0">
    <fb>42.78</fb>
    <v>0</v>
  </rv>
  <rv s="0">
    <fb>246.05</fb>
    <v>0</v>
  </rv>
  <rv s="0">
    <fb>468.98</fb>
    <v>0</v>
  </rv>
  <rv s="0">
    <fb>119.7</fb>
    <v>0</v>
  </rv>
  <rv s="0">
    <fb>83.683199999999999</fb>
    <v>0</v>
  </rv>
  <rv s="0">
    <fb>107.25</fb>
    <v>0</v>
  </rv>
  <rv s="0">
    <fb>104.29</fb>
    <v>0</v>
  </rv>
  <rv s="0">
    <fb>133.81</fb>
    <v>0</v>
  </rv>
  <rv s="0">
    <fb>193.97</fb>
    <v>0</v>
  </rv>
  <rv s="0">
    <fb>310.64</fb>
    <v>0</v>
  </rv>
  <rv s="0">
    <fb>145.44</fb>
    <v>0</v>
  </rv>
  <rv s="0">
    <fb>88.22</fb>
    <v>0</v>
  </rv>
  <rv s="0">
    <fb>15.95</fb>
    <v>0</v>
  </rv>
  <rv s="0">
    <fb>47</fb>
    <v>0</v>
  </rv>
  <rv s="0">
    <fb>36.68</fb>
    <v>0</v>
  </rv>
  <rv s="0">
    <fb>393.3</fb>
    <v>0</v>
  </rv>
  <rv s="0">
    <fb>340.54</fb>
    <v>0</v>
  </rv>
  <rv s="0">
    <fb>138.55000000000001</fb>
    <v>0</v>
  </rv>
  <rv s="0">
    <fb>52.392800000000001</fb>
    <v>0</v>
  </rv>
  <rv s="0">
    <fb>60.22</fb>
    <v>0</v>
  </rv>
  <rv s="0">
    <fb>298.41000000000003</fb>
    <v>0</v>
  </rv>
  <rv s="0">
    <fb>445.71</fb>
    <v>0</v>
  </rv>
  <rv s="0">
    <fb>267.43</fb>
    <v>0</v>
  </rv>
  <rv s="0">
    <fb>109.11</fb>
    <v>0</v>
  </rv>
  <rv s="0">
    <fb>46.728999999999999</fb>
    <v>0</v>
  </rv>
  <rv s="0">
    <fb>54.31</fb>
    <v>0</v>
  </rv>
  <rv s="0">
    <fb>318.60000000000002</fb>
    <v>0</v>
  </rv>
  <rv s="0">
    <fb>13.000999999999999</fb>
    <v>0</v>
  </rv>
  <rv s="0">
    <fb>38.61</fb>
    <v>0</v>
  </rv>
  <rv s="0">
    <fb>82.7</fb>
    <v>0</v>
  </rv>
  <rv s="0">
    <fb>238.85</fb>
    <v>0</v>
  </rv>
  <rv s="0">
    <fb>39.245600000000003</fb>
    <v>0</v>
  </rv>
  <rv s="0">
    <fb>265.17</fb>
    <v>0</v>
  </rv>
  <rv s="0">
    <fb>454.55</fb>
    <v>0</v>
  </rv>
  <rv s="0">
    <fb>132.72</fb>
    <v>0</v>
  </rv>
  <rv s="0">
    <fb>93.222899999999996</fb>
    <v>0</v>
  </rv>
  <rv s="0">
    <fb>107.24</fb>
    <v>0</v>
  </rv>
  <rv s="0">
    <fb>105.89</fb>
    <v>0</v>
  </rv>
  <rv s="0">
    <fb>144.18</fb>
    <v>0</v>
  </rv>
  <rv s="0">
    <fb>196.45</fb>
    <v>0</v>
  </rv>
  <rv s="0">
    <fb>333.84</fb>
    <v>0</v>
  </rv>
  <rv s="0">
    <fb>157.96</fb>
    <v>0</v>
  </rv>
  <rv s="0">
    <fb>96.49</fb>
    <v>0</v>
  </rv>
  <rv s="0">
    <fb>14.52</fb>
    <v>0</v>
  </rv>
  <rv s="0">
    <fb>48.64</fb>
    <v>0</v>
  </rv>
  <rv s="0">
    <fb>36.06</fb>
    <v>0</v>
  </rv>
  <rv s="0">
    <fb>394.28</fb>
    <v>0</v>
  </rv>
  <rv s="0">
    <fb>335.92</fb>
    <v>0</v>
  </rv>
  <rv s="0">
    <fb>137.66999999999999</fb>
    <v>0</v>
  </rv>
  <rv s="0">
    <fb>53.286099999999998</fb>
    <v>0</v>
  </rv>
  <rv s="0">
    <fb>61.93</fb>
    <v>0</v>
  </rv>
  <rv s="0">
    <fb>293.2</fb>
    <v>0</v>
  </rv>
  <rv s="0">
    <fb>460.18</fb>
    <v>0</v>
  </rv>
  <rv s="0">
    <fb>258.08</fb>
    <v>0</v>
  </rv>
  <rv s="0">
    <fb>98.94</fb>
    <v>0</v>
  </rv>
  <rv s="0">
    <fb>49.354999999999997</fb>
    <v>0</v>
  </rv>
  <rv s="0">
    <fb>49.81</fb>
    <v>0</v>
  </rv>
  <rv s="0">
    <fb>295.89</fb>
    <v>0</v>
  </rv>
  <rv s="0">
    <fb>11.9381</fb>
    <v>0</v>
  </rv>
  <rv s="0">
    <fb>33.75</fb>
    <v>0</v>
  </rv>
  <rv s="0">
    <fb>75.7</fb>
    <v>0</v>
  </rv>
  <rv s="0">
    <fb>224.03</fb>
    <v>0</v>
  </rv>
  <rv s="0">
    <fb>38.532800000000002</fb>
    <v>0</v>
  </rv>
  <rv s="0">
    <fb>281.13</fb>
    <v>0</v>
  </rv>
  <rv s="0">
    <fb>554.20000000000005</fb>
    <v>0</v>
  </rv>
  <rv s="0">
    <fb>89.184700000000007</fb>
    <v>0</v>
  </rv>
  <rv s="0">
    <fb>111.19</fb>
    <v>0</v>
  </rv>
  <rv s="0">
    <fb>106.02</fb>
    <v>0</v>
  </rv>
  <rv s="0">
    <fb>146.83000000000001</fb>
    <v>0</v>
  </rv>
  <rv s="0">
    <fb>187.87</fb>
    <v>0</v>
  </rv>
  <rv s="0">
    <fb>330.3</fb>
    <v>0</v>
  </rv>
  <rv s="0">
    <fb>146.33000000000001</fb>
    <v>0</v>
  </rv>
  <rv s="0">
    <fb>94.67</fb>
    <v>0</v>
  </rv>
  <rv s="0">
    <fb>14.79</fb>
    <v>0</v>
  </rv>
  <rv s="0">
    <fb>46.39</fb>
    <v>0</v>
  </rv>
  <rv s="0">
    <fb>35.380000000000003</fb>
    <v>0</v>
  </rv>
  <rv s="0">
    <fb>412.64</fb>
    <v>0</v>
  </rv>
  <rv s="0">
    <fb>327.76</fb>
    <v>0</v>
  </rv>
  <rv s="0">
    <fb>129.38</fb>
    <v>0</v>
  </rv>
  <rv s="0">
    <fb>54.202800000000003</fb>
    <v>0</v>
  </rv>
  <rv s="0">
    <fb>59.83</fb>
    <v>0</v>
  </rv>
  <rv s="0">
    <fb>281.14999999999998</fb>
    <v>0</v>
  </rv>
  <rv s="0">
    <fb>452.69</fb>
    <v>0</v>
  </rv>
  <rv s="0">
    <fb>250.22</fb>
    <v>0</v>
  </rv>
  <rv s="0">
    <fb>92.14</fb>
    <v>0</v>
  </rv>
  <rv s="0">
    <fb>43.499000000000002</fb>
    <v>0</v>
  </rv>
  <rv s="0">
    <fb>42.3</fb>
    <v>0</v>
  </rv>
  <rv s="0">
    <fb>300.20999999999998</fb>
    <v>0</v>
  </rv>
  <rv s="0">
    <fb>12.2235</fb>
    <v>0</v>
  </rv>
  <rv s="0">
    <fb>33.06</fb>
    <v>0</v>
  </rv>
  <rv s="0">
    <fb>68.22</fb>
    <v>0</v>
  </rv>
  <rv s="0">
    <fb>191.68</fb>
    <v>0</v>
  </rv>
  <rv s="0">
    <fb>36.636600000000001</fb>
    <v>0</v>
  </rv>
  <rv s="0">
    <fb>273</fb>
    <v>0</v>
  </rv>
  <rv s="0">
    <fb>537.13</fb>
    <v>0</v>
  </rv>
  <rv s="0">
    <fb>130.86000000000001</fb>
    <v>0</v>
  </rv>
  <rv s="0">
    <fb>78.273799999999994</fb>
    <v>0</v>
  </rv>
  <rv s="0">
    <fb>117.58</fb>
    <v>0</v>
  </rv>
  <rv s="0">
    <fb>140.30000000000001</fb>
    <v>0</v>
  </rv>
  <rv s="0">
    <fb>171.21</fb>
    <v>0</v>
  </rv>
  <rv s="0">
    <fb>302.16000000000003</fb>
    <v>0</v>
  </rv>
  <rv s="0">
    <fb>145.02000000000001</fb>
    <v>0</v>
  </rv>
  <rv s="0">
    <fb>94.89</fb>
    <v>0</v>
  </rv>
  <rv s="0">
    <fb>15.02</fb>
    <v>0</v>
  </rv>
  <rv s="0">
    <fb>44.75</fb>
    <v>0</v>
  </rv>
  <rv s="0">
    <fb>33.17</fb>
    <v>0</v>
  </rv>
  <rv s="0">
    <fb>395.91</fb>
    <v>0</v>
  </rv>
  <rv s="0">
    <fb>315.75</fb>
    <v>0</v>
  </rv>
  <rv s="0">
    <fb>53.3095</fb>
    <v>0</v>
  </rv>
  <rv s="0">
    <fb>55.98</fb>
    <v>0</v>
  </rv>
  <rv s="0">
    <fb>263.44</fb>
    <v>0</v>
  </rv>
  <rv s="0">
    <fb>429.43</fb>
    <v>0</v>
  </rv>
  <rv s="0">
    <fb>200.84</fb>
    <v>0</v>
  </rv>
  <rv s="0">
    <fb>84.73</fb>
    <v>0</v>
  </rv>
  <rv s="0">
    <fb>40.78</fb>
    <v>0</v>
  </rv>
  <rv s="0">
    <fb>301.27</fb>
    <v>0</v>
  </rv>
  <rv s="0">
    <fb>9.5958000000000006</fb>
    <v>0</v>
  </rv>
  <rv s="0">
    <fb>26.85</fb>
    <v>0</v>
  </rv>
  <rv s="0">
    <fb>65.02</fb>
    <v>0</v>
  </rv>
  <rv s="0">
    <fb>38.844000000000001</fb>
    <v>0</v>
  </rv>
  <rv s="0">
    <fb>226.05</fb>
    <v>0</v>
  </rv>
  <rv s="0">
    <fb>553.92999999999995</fb>
    <v>0</v>
  </rv>
  <rv s="0">
    <fb>76.041499999999999</fb>
    <v>0</v>
  </rv>
  <rv s="0">
    <fb>105.85</fb>
    <v>0</v>
  </rv>
  <rv s="0">
    <fb>102.53</fb>
    <v>0</v>
  </rv>
  <rv s="0">
    <fb>170.77</fb>
    <v>0</v>
  </rv>
  <rv s="0">
    <fb>284.69</fb>
    <v>0</v>
  </rv>
  <rv s="0">
    <fb>139.06</fb>
    <v>0</v>
  </rv>
  <rv s="0">
    <fb>91.44</fb>
    <v>0</v>
  </rv>
  <rv s="0">
    <fb>15.4</fb>
    <v>0</v>
  </rv>
  <rv s="0">
    <fb>45.37</fb>
    <v>0</v>
  </rv>
  <rv s="0">
    <fb>30.56</fb>
    <v>0</v>
  </rv>
  <rv s="0">
    <fb>376.35</fb>
    <v>0</v>
  </rv>
  <rv s="0">
    <fb>338.11</fb>
    <v>0</v>
  </rv>
  <rv s="0">
    <fb>120.86</fb>
    <v>0</v>
  </rv>
  <rv s="0">
    <fb>54.469499999999996</fb>
    <v>0</v>
  </rv>
  <rv s="0">
    <fb>56.49</fb>
    <v>0</v>
  </rv>
  <rv s="0">
    <fb>262.17</fb>
    <v>0</v>
  </rv>
  <rv s="0">
    <fb>419.94</fb>
    <v>0</v>
  </rv>
  <rv s="0">
    <fb>240.08</fb>
    <v>0</v>
  </rv>
  <rv s="0">
    <fb>107.46</fb>
    <v>0</v>
  </rv>
  <rv s="0">
    <fb>46.77</fb>
    <v>0</v>
  </rv>
  <rv s="0">
    <fb>327.14999999999998</fb>
    <v>0</v>
  </rv>
  <rv s="0">
    <fb>10.0977</fb>
    <v>0</v>
  </rv>
  <rv s="0">
    <fb>29.99</fb>
    <v>0</v>
  </rv>
  <rv s="0">
    <fb>65.239999999999995</fb>
    <v>0</v>
  </rv>
  <rv s="0">
    <fb>231.63</fb>
    <v>0</v>
  </rv>
  <rv s="0">
    <fb>44.045000000000002</fb>
    <v>0</v>
  </rv>
  <rv s="0">
    <fb>250.72</fb>
    <v>0</v>
  </rv>
  <rv s="0">
    <fb>591.04</fb>
    <v>0</v>
  </rv>
  <rv s="0">
    <fb>132.53</fb>
    <v>0</v>
  </rv>
  <rv s="0">
    <fb>82.830399999999997</fb>
    <v>0</v>
  </rv>
  <rv s="0">
    <fb>102.74</fb>
    <v>0</v>
  </rv>
  <rv s="0">
    <fb>122.24</fb>
    <v>0</v>
  </rv>
  <rv s="0">
    <fb>158.56</fb>
    <v>0</v>
  </rv>
  <rv s="0">
    <fb>189.95</fb>
    <v>0</v>
  </rv>
  <rv s="0">
    <fb>313.49</fb>
    <v>0</v>
  </rv>
  <rv s="0">
    <fb>156.08000000000001</fb>
    <v>0</v>
  </rv>
  <rv s="0">
    <fb>97.78</fb>
    <v>0</v>
  </rv>
  <rv s="0">
    <fb>16.57</fb>
    <v>0</v>
  </rv>
  <rv s="0">
    <fb>44.27</fb>
    <v>0</v>
  </rv>
  <rv s="0">
    <fb>30.47</fb>
    <v>0</v>
  </rv>
  <rv s="0">
    <fb>413.83</fb>
    <v>0</v>
  </rv>
  <rv s="0">
    <fb>378.91</fb>
    <v>0</v>
  </rv>
  <rv s="0">
    <fb>125.55</fb>
    <v>0</v>
  </rv>
  <rv s="0">
    <fb>51.896099999999997</fb>
    <v>0</v>
  </rv>
  <rv s="0">
    <fb>58.44</fb>
    <v>0</v>
  </rv>
  <rv s="0">
    <fb>281.83999999999997</fb>
    <v>0</v>
  </rv>
  <rv s="0">
    <fb>458.42</fb>
    <v>0</v>
  </rv>
  <rv s="0">
    <fb>248.48</fb>
    <v>0</v>
  </rv>
  <rv s="0">
    <fb>129.49</fb>
    <v>0</v>
  </rv>
  <rv s="0">
    <fb>49.521999999999998</fb>
    <v>0</v>
  </rv>
  <rv s="0">
    <fb>41.26</fb>
    <v>0</v>
  </rv>
  <rv s="0">
    <fb>353.96</fb>
    <v>0</v>
  </rv>
  <rv s="0">
    <fb>11.997199999999999</fb>
    <v>0</v>
  </rv>
  <rv s="0">
    <fb>36.840000000000003</fb>
    <v>0</v>
  </rv>
  <rv s="0">
    <fb>76.23</fb>
    <v>0</v>
  </rv>
  <rv s="0">
    <fb>260.66000000000003</fb>
    <v>0</v>
  </rv>
  <rv s="0">
    <fb>45.739199999999997</fb>
    <v>0</v>
  </rv>
  <rv s="0">
    <fb>295.67</fb>
    <v>0</v>
  </rv>
  <rv s="0">
    <fb>582.91999999999996</fb>
    <v>0</v>
  </rv>
  <rv s="0">
    <fb>139.69</fb>
    <v>0</v>
  </rv>
  <rv s="0">
    <fb>91.400300000000001</fb>
    <v>0</v>
  </rv>
  <rv s="0">
    <fb>99.98</fb>
    <v>0</v>
  </rv>
  <rv s="0">
    <fb>128.54</fb>
    <v>0</v>
  </rv>
  <rv s="0">
    <fb>163.55000000000001</fb>
    <v>0</v>
  </rv>
  <rv s="0">
    <fb>192.53</fb>
    <v>0</v>
  </rv>
  <rv s="0">
    <fb>346.55</fb>
    <v>0</v>
  </rv>
  <rv s="0">
    <fb>170.1</fb>
    <v>0</v>
  </rv>
  <rv s="0">
    <fb>103.71</fb>
    <v>0</v>
  </rv>
  <rv s="0">
    <fb>16.78</fb>
    <v>0</v>
  </rv>
  <rv s="0">
    <fb>45.71</fb>
    <v>0</v>
  </rv>
  <rv s="0">
    <fb>28.79</fb>
    <v>0</v>
  </rv>
  <rv s="0">
    <fb>426.51</fb>
    <v>0</v>
  </rv>
  <rv s="0">
    <fb>376.04</fb>
    <v>0</v>
  </rv>
  <rv s="0">
    <fb>130.66</fb>
    <v>0</v>
  </rv>
  <rv s="0">
    <fb>52.549500000000002</fb>
    <v>0</v>
  </rv>
  <rv s="0">
    <fb>58.93</fb>
    <v>0</v>
  </rv>
  <rv s="0">
    <fb>296.51</fb>
    <v>0</v>
  </rv>
  <rv s="0">
    <fb>477.63</fb>
    <v>0</v>
  </rv>
  <rv s="0">
    <fb>187.29</fb>
    <v>0</v>
  </rv>
  <rv s="0">
    <fb>127.5</fb>
    <v>0</v>
  </rv>
  <rv s="0">
    <fb>61.527000000000001</fb>
    <v>0</v>
  </rv>
  <rv s="0">
    <fb>41.38</fb>
    <v>0</v>
  </rv>
  <rv s="0">
    <fb>390.14</fb>
    <v>0</v>
  </rv>
  <rv s="0">
    <fb>11.534599999999999</fb>
    <v>0</v>
  </rv>
  <rv s="0">
    <fb>32.450000000000003</fb>
    <v>0</v>
  </rv>
  <rv s="0">
    <fb>73.48</fb>
    <v>0</v>
  </rv>
  <rv s="0">
    <fb>211.04</fb>
    <v>0</v>
  </rv>
  <rv s="0">
    <fb>48.175400000000003</fb>
    <v>0</v>
  </rv>
  <rv s="0">
    <fb>300.31</fb>
    <v>0</v>
  </rv>
  <rv s="0">
    <fb>645.61</fb>
    <v>0</v>
  </rv>
  <rv s="0">
    <fb>140.1</fb>
    <v>0</v>
  </rv>
  <rv s="0">
    <fb>78.884100000000004</fb>
    <v>0</v>
  </rv>
  <rv s="0">
    <fb>102.81</fb>
    <v>0</v>
  </rv>
  <rv s="0">
    <fb>119.49</fb>
    <v>0</v>
  </rv>
  <rv s="0">
    <fb>183.66</fb>
    <v>0</v>
  </rv>
  <rv s="0">
    <fb>184.4</fb>
    <v>0</v>
  </rv>
  <rv s="0">
    <fb>352.96</fb>
    <v>0</v>
  </rv>
  <rv s="0">
    <fb>174.36</fb>
    <v>0</v>
  </rv>
  <rv s="0">
    <fb>104.93</fb>
    <v>0</v>
  </rv>
  <rv s="0">
    <fb>17.690000000000001</fb>
    <v>0</v>
  </rv>
  <rv s="0">
    <fb>27.08</fb>
    <v>0</v>
  </rv>
  <rv s="0">
    <fb>449.23</fb>
    <v>0</v>
  </rv>
  <rv s="0">
    <fb>397.58</fb>
    <v>0</v>
  </rv>
  <rv s="0">
    <fb>55.082799999999999</fb>
    <v>0</v>
  </rv>
  <rv s="0">
    <fb>59.49</fb>
    <v>0</v>
  </rv>
  <rv s="0">
    <fb>292.72000000000003</fb>
    <v>0</v>
  </rv>
  <rv s="0">
    <fb>485.2</fb>
    <v>0</v>
  </rv>
  <rv s="0">
    <fb>201.88</fb>
    <v>0</v>
  </rv>
  <rv s="0">
    <fb>123.35</fb>
    <v>0</v>
  </rv>
  <rv s="0">
    <fb>79.111999999999995</fb>
    <v>0</v>
  </rv>
  <rv s="0">
    <fb>45.49</fb>
    <v>0</v>
  </rv>
  <rv s="0">
    <fb>490.13</fb>
    <v>0</v>
  </rv>
  <rv s="0">
    <fb>12.2432</fb>
    <v>0</v>
  </rv>
  <rv s="0">
    <fb>36.270000000000003</fb>
    <v>0</v>
  </rv>
  <rv s="0">
    <fb>71.89</fb>
    <v>0</v>
  </rv>
  <rv s="0">
    <fb>203.72</fb>
    <v>0</v>
  </rv>
  <rv s="0">
    <fb>53.775399999999998</fb>
    <v>0</v>
  </rv>
  <rv s="0">
    <fb>333.96</fb>
    <v>0</v>
  </rv>
  <rv s="0">
    <fb>753.68</fb>
    <v>0</v>
  </rv>
  <rv s="0">
    <fb>138.46</fb>
    <v>0</v>
  </rv>
  <rv s="0">
    <fb>77.0197</fb>
    <v>0</v>
  </rv>
  <rv s="0">
    <fb>104.52</fb>
    <v>0</v>
  </rv>
  <rv s="0">
    <fb>137.35</fb>
    <v>0</v>
  </rv>
  <rv s="0">
    <fb>185.03</fb>
    <v>0</v>
  </rv>
  <rv s="0">
    <fb>180.75</fb>
    <v>0</v>
  </rv>
  <rv s="0">
    <fb>380.61</fb>
    <v>0</v>
  </rv>
  <rv s="0">
    <fb>186.06</fb>
    <v>0</v>
  </rv>
  <rv s="0">
    <fb>108.99</fb>
    <v>0</v>
  </rv>
  <rv s="0">
    <fb>16.93</fb>
    <v>0</v>
  </rv>
  <rv s="0">
    <fb>49.61</fb>
    <v>0</v>
  </rv>
  <rv s="0">
    <fb>26.56</fb>
    <v>0</v>
  </rv>
  <rv s="0">
    <fb>474.76</fb>
    <v>0</v>
  </rv>
  <rv s="0">
    <fb>413.64</fb>
    <v>0</v>
  </rv>
  <rv s="0">
    <fb>138.41999999999999</fb>
    <v>0</v>
  </rv>
  <rv s="0">
    <fb>58.61</fb>
    <v>0</v>
  </rv>
  <rv s="0">
    <fb>60.02</fb>
    <v>0</v>
  </rv>
  <rv s="0">
    <fb>292.27999999999997</fb>
    <v>0</v>
  </rv>
  <rv s="0">
    <fb>510.45</fb>
    <v>0</v>
  </rv>
  <rv s="0">
    <fb>175.79</fb>
    <v>0</v>
  </rv>
  <rv s="0">
    <fb>139.01</fb>
    <v>0</v>
  </rv>
  <rv s="0">
    <fb>90.355999999999995</fb>
    <v>0</v>
  </rv>
  <rv s="0">
    <fb>47.88</fb>
    <v>0</v>
  </rv>
  <rv s="0">
    <fb>485.58</fb>
    <v>0</v>
  </rv>
  <rv s="0">
    <fb>13.069900000000001</fb>
    <v>0</v>
  </rv>
  <rv s="0">
    <fb>66.599999999999994</fb>
    <v>0</v>
  </rv>
  <rv s="0">
    <fb>192.99</fb>
    <v>0</v>
  </rv>
  <rv s="0">
    <fb>58.135399999999997</fb>
    <v>0</v>
  </rv>
  <rv s="0">
    <fb>366.43</fb>
    <v>0</v>
  </rv>
  <rv s="0">
    <fb>777.96</fb>
    <v>0</v>
  </rv>
  <rv s="0">
    <fb>150.93</fb>
    <v>0</v>
  </rv>
  <rv s="0">
    <fb>88.683000000000007</fb>
    <v>0</v>
  </rv>
  <rv s="0">
    <fb>116.24</fb>
    <v>0</v>
  </rv>
  <rv s="0">
    <fb>148.87</fb>
    <v>0</v>
  </rv>
  <rv s="0">
    <fb>190.96</fb>
    <v>0</v>
  </rv>
  <rv s="0">
    <fb>171.48</fb>
    <v>0</v>
  </rv>
  <rv s="0">
    <fb>383.6</fb>
    <v>0</v>
  </rv>
  <rv s="0">
    <fb>200.3</fb>
    <v>0</v>
  </rv>
  <rv s="0">
    <fb>117.4</fb>
    <v>0</v>
  </rv>
  <rv s="0">
    <fb>17.600000000000001</fb>
    <v>0</v>
  </rv>
  <rv s="0">
    <fb>57.13</fb>
    <v>0</v>
  </rv>
  <rv s="0">
    <fb>27.75</fb>
    <v>0</v>
  </rv>
  <rv s="0">
    <fb>481.57</fb>
    <v>0</v>
  </rv>
  <rv s="0">
    <fb>420.72</fb>
    <v>0</v>
  </rv>
  <rv s="0">
    <fb>138.65</fb>
    <v>0</v>
  </rv>
  <rv s="0">
    <fb>60.17</fb>
    <v>0</v>
  </rv>
  <rv s="0">
    <fb>61.18</fb>
    <v>0</v>
  </rv>
  <rv s="0">
    <fb>281.95</fb>
    <v>0</v>
  </rv>
  <rv s="0">
    <fb>525.73</fb>
    <v>0</v>
  </rv>
  <rv s="0">
    <fb>183.28</fb>
    <v>0</v>
  </rv>
  <rv s="0">
    <fb>139.63</fb>
    <v>0</v>
  </rv>
  <rv s="0">
    <fb>86.402000000000001</fb>
    <v>0</v>
  </rv>
  <rv s="0">
    <fb>51.46</fb>
    <v>0</v>
  </rv>
  <rv s="0">
    <fb>430.17</fb>
    <v>0</v>
  </rv>
  <rv s="0">
    <fb>11.957800000000001</fb>
    <v>0</v>
  </rv>
  <rv s="0">
    <fb>34.39</fb>
    <v>0</v>
  </rv>
  <rv s="0">
    <fb>61.69</fb>
    <v>0</v>
  </rv>
  <rv s="0">
    <fb>167.84</fb>
    <v>0</v>
  </rv>
  <rv s="0">
    <fb>63.192</fb>
    <v>0</v>
  </rv>
  <rv s="0">
    <fb>334.57</fb>
    <v>0</v>
  </rv>
  <rv s="0">
    <fb>781.1</fb>
    <v>0</v>
  </rv>
  <rv s="0">
    <fb>162.78</fb>
    <v>0</v>
  </rv>
  <rv s="0">
    <fb>96.51</fb>
    <v>0</v>
  </rv>
  <rv s="0">
    <fb>118.27</fb>
    <v>0</v>
  </rv>
  <rv s="0">
    <fb>144.47</fb>
    <v>0</v>
  </rv>
  <rv s="0">
    <fb>166.2</fb>
    <v>0</v>
  </rv>
  <rv s="0">
    <fb>170.33</fb>
    <v>0</v>
  </rv>
  <rv s="0">
    <fb>334.22</fb>
    <v>0</v>
  </rv>
  <rv s="0">
    <fb>191.74</fb>
    <v>0</v>
  </rv>
  <rv s="0">
    <fb>110.48</fb>
    <v>0</v>
  </rv>
  <rv s="0">
    <fb>16.89</fb>
    <v>0</v>
  </rv>
  <rv s="0">
    <fb>55.38</fb>
    <v>0</v>
  </rv>
  <rv s="0">
    <fb>25.62</fb>
    <v>0</v>
  </rv>
  <rv s="0">
    <fb>451.2</fb>
    <v>0</v>
  </rv>
  <rv s="0">
    <fb>389.33</fb>
    <v>0</v>
  </rv>
  <rv s="0">
    <fb>141.25</fb>
    <v>0</v>
  </rv>
  <rv s="0">
    <fb>59.35</fb>
    <v>0</v>
  </rv>
  <rv s="0">
    <fb>61.77</fb>
    <v>0</v>
  </rv>
  <rv s="0">
    <fb>273.04000000000002</fb>
    <v>0</v>
  </rv>
  <rv s="0">
    <fb>504.44</fb>
    <v>0</v>
  </rv>
  <rv s="0">
    <fb>178.08</fb>
    <v>0</v>
  </rv>
  <rv s="0">
    <fb>147.68</fb>
    <v>0</v>
  </rv>
  <rv s="0">
    <fb>109.633</fb>
    <v>0</v>
  </rv>
  <rv s="0">
    <fb>52.99</fb>
    <v>0</v>
  </rv>
  <rv s="0">
    <fb>466.83</fb>
    <v>0</v>
  </rv>
  <rv s="0">
    <fb>35.880000000000003</fb>
    <v>0</v>
  </rv>
  <rv s="0">
    <fb>46.46</fb>
    <v>0</v>
  </rv>
  <rv s="0">
    <fb>177.61</fb>
    <v>0</v>
  </rv>
  <rv s="0">
    <fb>62.590400000000002</fb>
    <v>0</v>
  </rv>
  <rv s="0">
    <fb>338.52</fb>
    <v>0</v>
  </rv>
  <rv s="0">
    <fb>820.34</fb>
    <v>0</v>
  </rv>
  <rv s="0">
    <fb>172.5</fb>
    <v>0</v>
  </rv>
  <rv s="0">
    <fb>100.14</fb>
    <v>0</v>
  </rv>
  <rv s="0">
    <fb>117.26</fb>
    <v>0</v>
  </rv>
  <rv s="0">
    <fb>163.85</fb>
    <v>0</v>
  </rv>
  <rv s="0">
    <fb>166.85</fb>
    <v>0</v>
  </rv>
  <rv s="0">
    <fb>192.25</fb>
    <v>0</v>
  </rv>
  <rv s="0">
    <fb>334.87</fb>
    <v>0</v>
  </rv>
  <rv s="0">
    <fb>202.63</fb>
    <v>0</v>
  </rv>
  <rv s="0">
    <fb>120.35</fb>
    <v>0</v>
  </rv>
  <rv s="0">
    <fb>18.22</fb>
    <v>0</v>
  </rv>
  <rv s="0">
    <fb>52.37</fb>
    <v>0</v>
  </rv>
  <rv s="0">
    <fb>28.66</fb>
    <v>0</v>
  </rv>
  <rv s="0">
    <fb>447.07</fb>
    <v>0</v>
  </rv>
  <rv s="0">
    <fb>415.13</fb>
    <v>0</v>
  </rv>
  <rv s="0">
    <fb>137.43</fb>
    <v>0</v>
  </rv>
  <rv s="0">
    <fb>65.760000000000005</fb>
    <v>0</v>
  </rv>
  <rv s="0">
    <fb>62.93</fb>
    <v>0</v>
  </rv>
  <rv s="0">
    <fb>258.89</fb>
    <v>0</v>
  </rv>
  <rv s="0">
    <fb>529.96</fb>
    <v>0</v>
  </rv>
  <rv s="0">
    <fb>197.88</fb>
    <v>0</v>
  </rv>
  <rv s="0">
    <fb>159.43</fb>
    <v>0</v>
  </rv>
  <rv s="0">
    <fb>123.54</fb>
    <v>0</v>
  </rv>
  <rv s="0">
    <fb>48.66</fb>
    <v>0</v>
  </rv>
  <rv s="0">
    <fb>504.22</fb>
    <v>0</v>
  </rv>
  <rv s="0">
    <fb>12.3416</fb>
    <v>0</v>
  </rv>
  <rv s="0">
    <fb>33.54</fb>
    <v>0</v>
  </rv>
  <rv s="0">
    <fb>46.98</fb>
    <v>0</v>
  </rv>
  <rv s="0">
    <fb>182.01</fb>
    <v>0</v>
  </rv>
  <rv s="0">
    <fb>62.65</fb>
    <v>0</v>
  </rv>
  <rv s="0">
    <fb>333.1</fb>
    <v>0</v>
  </rv>
  <rv s="0">
    <fb>905.38</fb>
    <v>0</v>
  </rv>
  <rv s="0">
    <fb>182.15</fb>
    <v>0</v>
  </rv>
  <rv s="0">
    <fb>102.19</fb>
    <v>0</v>
  </rv>
  <rv s="0">
    <fb>115.12</fb>
    <v>0</v>
  </rv>
  <rv s="0">
    <fb>162.91999999999999</fb>
    <v>0</v>
  </rv>
  <rv s="0">
    <fb>172.95</fb>
    <v>0</v>
  </rv>
  <rv s="0">
    <fb>210.62</fb>
    <v>0</v>
  </rv>
  <rv s="0">
    <fb>344.24</fb>
    <v>0</v>
  </rv>
  <rv s="0">
    <fb>202.26</fb>
    <v>0</v>
  </rv>
  <rv s="0">
    <fb>117.19</fb>
    <v>0</v>
  </rv>
  <rv s="0">
    <fb>19.11</fb>
    <v>0</v>
  </rv>
  <rv s="0">
    <fb>49.93</fb>
    <v>0</v>
  </rv>
  <rv s="0">
    <fb>27.98</fb>
    <v>0</v>
  </rv>
  <rv s="0">
    <fb>441.16</fb>
    <v>0</v>
  </rv>
  <rv s="0">
    <fb>446.95</fb>
    <v>0</v>
  </rv>
  <rv s="0">
    <fb>132.46</fb>
    <v>0</v>
  </rv>
  <rv s="0">
    <fb>67.709999999999994</fb>
    <v>0</v>
  </rv>
  <rv s="0">
    <fb>63.65</fb>
    <v>0</v>
  </rv>
  <rv s="0">
    <fb>254.84</fb>
    <v>0</v>
  </rv>
  <rv s="0">
    <fb>547.23</fb>
    <v>0</v>
  </rv>
  <rv s="0">
    <fb>232.07</fb>
    <v>0</v>
  </rv>
  <rv s="0">
    <fb>156.72</fb>
    <v>0</v>
  </rv>
  <rv s="0">
    <fb>117.02</fb>
    <v>0</v>
  </rv>
  <rv s="0">
    <fb>45.42</fb>
    <v>0</v>
  </rv>
  <rv s="0">
    <fb>474.83</fb>
    <v>0</v>
  </rv>
  <rv s="0">
    <fb>10.6488</fb>
    <v>0</v>
  </rv>
  <rv s="0">
    <fb>37.5</fb>
    <v>0</v>
  </rv>
  <rv s="0">
    <fb>44.23</fb>
    <v>0</v>
  </rv>
  <rv s="0">
    <fb>190.6</fb>
    <v>0</v>
  </rv>
  <rv s="0">
    <fb>54.32</fb>
    <v>0</v>
  </rv>
  <rv s="0">
    <fb>346.2</fb>
    <v>0</v>
  </rv>
  <rv s="0">
    <fb>804.27</fb>
    <v>0</v>
  </rv>
  <rv s="0">
    <fb>171.54</fb>
    <v>0</v>
  </rv>
  <rv s="0">
    <fb>127.55</fb>
    <v>0</v>
  </rv>
  <rv s="0">
    <fb>118.59</fb>
    <v>0</v>
  </rv>
  <rv s="0">
    <fb>171.25</fb>
    <v>0</v>
  </rv>
  <rv s="0">
    <fb>192.14</fb>
    <v>0</v>
  </rv>
  <rv s="0">
    <fb>222.08</fb>
    <v>0</v>
  </rv>
  <rv s="0">
    <fb>368.16</fb>
    <v>0</v>
  </rv>
  <rv s="0">
    <fb>212.8</fb>
    <v>0</v>
  </rv>
  <rv s="0">
    <fb>125.32</fb>
    <v>0</v>
  </rv>
  <rv s="0">
    <fb>54.5</fb>
    <v>0</v>
  </rv>
  <rv s="0">
    <fb>30.54</fb>
    <v>0</v>
  </rv>
  <rv s="0">
    <fb>463.71</fb>
    <v>0</v>
  </rv>
  <rv s="0">
    <fb>418.35</fb>
    <v>0</v>
  </rv>
  <rv s="0">
    <fb>132.83000000000001</fb>
    <v>0</v>
  </rv>
  <rv s="0">
    <fb>68.64</fb>
    <v>0</v>
  </rv>
  <rv s="0">
    <fb>66.739999999999995</fb>
    <v>0</v>
  </rv>
  <rv s="0">
    <fb>265.39999999999998</fb>
    <v>0</v>
  </rv>
  <rv s="0">
    <fb>553.32000000000005</fb>
    <v>0</v>
  </rv>
  <rv s="0">
    <fb>214.11</fb>
    <v>0</v>
  </rv>
  <rv s="0">
    <fb>164.62</fb>
    <v>0</v>
  </rv>
  <rv s="0">
    <fb>119.37</fb>
    <v>0</v>
  </rv>
  <rv s="0">
    <fb>44.04</fb>
    <v>0</v>
  </rv>
  <rv s="0">
    <fb>521.30999999999995</fb>
    <v>0</v>
  </rv>
  <rv s="0">
    <fb>11.013</fb>
    <v>0</v>
  </rv>
  <rv s="0">
    <fb>37.44</fb>
    <v>0</v>
  </rv>
  <rv s="0">
    <fb>47.37</fb>
    <v>0</v>
  </rv>
  <rv s="0">
    <fb>173.74</fb>
    <v>0</v>
  </rv>
  <rv s="0">
    <fb>56.08</fb>
    <v>0</v>
  </rv>
  <rv s="0">
    <fb>356.1</fb>
    <v>0</v>
  </rv>
  <rv s="0">
    <fb>960.02</fb>
    <v>0</v>
  </rv>
  <rv s="0">
    <fb>163.38</fb>
    <v>0</v>
  </rv>
  <rv s="0">
    <fb>134.69</fb>
    <v>0</v>
  </rv>
  <rv s="0">
    <fb>117.94</fb>
    <v>0</v>
  </rv>
  <rv s="0">
    <fb>183.29</fb>
    <v>0</v>
  </rv>
  <rv s="0">
    <fb>202.13</fb>
    <v>0</v>
  </rv>
  <rv s="0">
    <fb>229</fb>
    <v>0</v>
  </rv>
  <rv s="0">
    <fb>368.5</fb>
    <v>0</v>
  </rv>
  <rv s="0">
    <fb>224.8</fb>
    <v>0</v>
  </rv>
  <rv s="0">
    <fb>121.16</fb>
    <v>0</v>
  </rv>
  <rv s="0">
    <fb>19.899999999999999</fb>
    <v>0</v>
  </rv>
  <rv s="0">
    <fb>53.21</fb>
    <v>0</v>
  </rv>
  <rv s="0">
    <fb>29.01</fb>
    <v>0</v>
  </rv>
  <rv s="0">
    <fb>483.34</fb>
    <v>0</v>
  </rv>
  <rv s="0">
    <fb>417.14</fb>
    <v>0</v>
  </rv>
  <rv s="0">
    <fb>134.91999999999999</fb>
    <v>0</v>
  </rv>
  <rv s="0">
    <fb>77.23</fb>
    <v>0</v>
  </rv>
  <rv s="0">
    <fb>72.47</fb>
    <v>0</v>
  </rv>
  <rv s="0">
    <fb>288.66000000000003</fb>
    <v>0</v>
  </rv>
  <rv s="0">
    <fb>566.75</fb>
    <v>0</v>
  </rv>
  <rv s="0">
    <fb>261.63</fb>
    <v>0</v>
  </rv>
  <rv s="0">
    <fb>177.36</fb>
    <v>0</v>
  </rv>
  <rv s="0">
    <fb>121.44</fb>
    <v>0</v>
  </rv>
  <rv s="0">
    <fb>57.06</fb>
    <v>0</v>
  </rv>
  <rv s="0">
    <fb>572.44000000000005</fb>
    <v>0</v>
  </rv>
  <rv s="0">
    <fb>10.392899999999999</fb>
    <v>0</v>
  </rv>
  <rv s="0">
    <fb>38.53</fb>
    <v>0</v>
  </rv>
  <rv s="0">
    <fb>53.87</fb>
    <v>0</v>
  </rv>
  <rv s="0">
    <fb>152.04</fb>
    <v>0</v>
  </rv>
  <rv s="0">
    <fb>57.62</fb>
    <v>0</v>
  </rv>
  <rv s="0">
    <fb>391.12</fb>
    <v>0</v>
  </rv>
  <rv s="0">
    <fb>885.94</fb>
    <v>0</v>
  </rv>
  <rv s="0">
    <fb>165.85</fb>
    <v>0</v>
  </rv>
  <rv s="0">
    <fb>136.69999999999999</fb>
    <v>0</v>
  </rv>
  <rv s="0">
    <fb>117.22</fb>
    <v>0</v>
  </rv>
  <rv s="0">
    <fb>176.03</fb>
    <v>0</v>
  </rv>
  <rv s="0">
    <fb>221.08</fb>
    <v>0</v>
  </rv>
  <rv s="0">
    <fb>233</fb>
    <v>0</v>
  </rv>
  <rv s="0">
    <fb>405.2</fb>
    <v>0</v>
  </rv>
  <rv s="0">
    <fb>210.86</fb>
    <v>0</v>
  </rv>
  <rv s="0">
    <fb>121.1</fb>
    <v>0</v>
  </rv>
  <rv s="0">
    <fb>22</fb>
    <v>0</v>
  </rv>
  <rv s="0">
    <fb>57.3</fb>
    <v>0</v>
  </rv>
  <rv s="0">
    <fb>28.94</fb>
    <v>0</v>
  </rv>
  <rv s="0">
    <fb>493.8</fb>
    <v>0</v>
  </rv>
  <rv s="0">
    <fb>430.3</fb>
    <v>0</v>
  </rv>
  <rv s="0">
    <fb>139.71</fb>
    <v>0</v>
  </rv>
  <rv s="0">
    <fb>80.75</fb>
    <v>0</v>
  </rv>
  <rv s="0">
    <fb>71.86</fb>
    <v>0</v>
  </rv>
  <rv s="0">
    <fb>304.51</fb>
    <v>0</v>
  </rv>
  <rv s="0">
    <fb>576.82000000000005</fb>
    <v>0</v>
  </rv>
  <rv s="0">
    <fb>249.85</fb>
    <v>0</v>
  </rv>
  <rv s="0">
    <fb>206.35</fb>
    <v>0</v>
  </rv>
  <rv s="0">
    <fb>132.76</fb>
    <v>0</v>
  </rv>
  <rv s="0">
    <fb>78.260000000000005</fb>
    <v>0</v>
  </rv>
  <rv s="0">
    <fb>567.58000000000004</fb>
    <v>0</v>
  </rv>
  <rv s="0">
    <fb>10.1272</fb>
    <v>0</v>
  </rv>
  <rv s="0">
    <fb>31.95</fb>
    <v>0</v>
  </rv>
  <rv s="0">
    <fb>52.39</fb>
    <v>0</v>
  </rv>
  <rv s="0">
    <fb>149.31</fb>
    <v>0</v>
  </rv>
  <rv s="0">
    <fb>55.77</fb>
    <v>0</v>
  </rv>
  <rv s="0">
    <fb>376.2</fb>
    <v>0</v>
  </rv>
  <rv s="0">
    <fb>829.74</fb>
    <v>0</v>
  </rv>
  <rv s="0">
    <fb>171.11</fb>
    <v>0</v>
  </rv>
  <rv s="0">
    <fb>128.47</fb>
    <v>0</v>
  </rv>
  <rv s="0">
    <fb>116.78</fb>
    <v>0</v>
  </rv>
  <rv s="0">
    <fb>198.35</fb>
    <v>0</v>
  </rv>
  <rv s="0">
    <fb>206.72</fb>
    <v>0</v>
  </rv>
  <rv s="0">
    <fb>225.91</fb>
    <v>0</v>
  </rv>
  <rv s="0">
    <fb>393.75</fb>
    <v>0</v>
  </rv>
  <rv s="0">
    <fb>221.92</fb>
    <v>0</v>
  </rv>
  <rv s="0">
    <fb>122.48</fb>
    <v>0</v>
  </rv>
  <rv s="0">
    <fb>22.54</fb>
    <v>0</v>
  </rv>
  <rv s="0">
    <fb>28.3</fb>
    <v>0</v>
  </rv>
  <rv s="0">
    <fb>499.59</fb>
    <v>0</v>
  </rv>
  <rv s="0">
    <fb>406.35</fb>
    <v>0</v>
  </rv>
  <rv s="0">
    <fb>131.16</fb>
    <v>0</v>
  </rv>
  <rv s="0">
    <fb>81.95</fb>
    <v>0</v>
  </rv>
  <rv s="0">
    <fb>65.31</fb>
    <v>0</v>
  </rv>
  <rv s="0">
    <fb>292.11</fb>
    <v>0</v>
  </rv>
  <rv s="0">
    <fb>571.24</fb>
    <v>0</v>
  </rv>
  <rv s="0">
    <fb>345.16</fb>
    <v>0</v>
  </rv>
  <rv s="0">
    <fb>244.06</fb>
    <v>0</v>
  </rv>
  <rv s="0">
    <fb>138.25</fb>
    <v>0</v>
  </rv>
  <rv s="0">
    <fb>96.83</fb>
    <v>0</v>
  </rv>
  <rv s="0">
    <fb>574.32000000000005</fb>
    <v>0</v>
  </rv>
  <rv s="0">
    <fb>33.630000000000003</fb>
    <v>0</v>
  </rv>
  <rv s="0">
    <fb>49.83</fb>
    <v>0</v>
  </rv>
  <rv s="0">
    <fb>155.44</fb>
    <v>0</v>
  </rv>
  <rv s="0">
    <fb>61.52</fb>
    <v>0</v>
  </rv>
  <rv s="0">
    <fb>406.11</fb>
    <v>0</v>
  </rv>
  <rv s="0">
    <fb>795.35</fb>
    <v>0</v>
  </rv>
  <rv s="0">
    <fb>168.95</fb>
    <v>0</v>
  </rv>
  <rv s="0">
    <fb>133.53</fb>
    <v>0</v>
  </rv>
  <rv s="0">
    <fb>117.96</fb>
    <v>0</v>
  </rv>
  <rv s="0">
    <fb>212.6</fb>
    <v>0</v>
  </rv>
  <rv s="0">
    <fb>227.41</fb>
    <v>0</v>
  </rv>
  <rv s="0">
    <fb>237.33</fb>
    <v>0</v>
  </rv>
  <rv s="0">
    <fb>429.13</fb>
    <v>0</v>
  </rv>
  <rv s="0">
    <fb>249.72</fb>
    <v>0</v>
  </rv>
  <rv s="0">
    <fb>129.41</fb>
    <v>0</v>
  </rv>
  <rv s="0">
    <fb>23.16</fb>
    <v>0</v>
  </rv>
  <rv s="0">
    <fb>61.08</fb>
    <v>0</v>
  </rv>
  <rv s="0">
    <fb>26.21</fb>
    <v>0</v>
  </rv>
  <rv s="0">
    <fb>532.94000000000005</fb>
    <v>0</v>
  </rv>
  <rv s="0">
    <fb>423.46</fb>
    <v>0</v>
  </rv>
  <rv s="0">
    <fb>138.94</fb>
    <v>0</v>
  </rv>
  <rv s="0">
    <fb>92.5</fb>
    <v>0</v>
  </rv>
  <rv s="0">
    <fb>64.08</fb>
    <v>0</v>
  </rv>
  <rv s="0">
    <fb>296.01</fb>
    <v>0</v>
  </rv>
  <rv s="0">
    <fb>605.07000000000005</fb>
    <v>0</v>
  </rv>
  <rv s="0">
    <fb>403.84</fb>
    <v>0</v>
  </rv>
  <rv s="0">
    <fb>230.69</fb>
    <v>0</v>
  </rv>
  <rv s="0">
    <fb>134.29</fb>
    <v>0</v>
  </rv>
  <rv s="0">
    <fb>97.1</fb>
    <v>0</v>
  </rv>
  <rv s="0">
    <fb>585.51</fb>
    <v>0</v>
  </rv>
  <rv s="0">
    <fb>9.7433999999999994</fb>
    <v>0</v>
  </rv>
  <rv s="0">
    <fb>30.13</fb>
    <v>0</v>
  </rv>
  <rv s="0">
    <fb>41.07</fb>
    <v>0</v>
  </rv>
  <rv s="0">
    <fb>177</fb>
    <v>0</v>
  </rv>
  <rv s="0">
    <fb>60.3</fb>
    <v>0</v>
  </rv>
  <rv s="0">
    <fb>362.76</fb>
    <v>0</v>
  </rv>
  <rv s="0">
    <fb>772</fb>
    <v>0</v>
  </rv>
  <rv s="0">
    <fb>189.3</fb>
    <v>0</v>
  </rv>
  <rv s="0">
    <fb>129.09</fb>
    <v>0</v>
  </rv>
  <rv s="0">
    <fb>107.57</fb>
    <v>0</v>
  </rv>
  <rv s="0">
    <fb>206.26</fb>
    <v>0</v>
  </rv>
  <rv s="0">
    <fb>219.83</fb>
    <v>0</v>
  </rv>
  <rv s="0">
    <fb>250.42</fb>
    <v>0</v>
  </rv>
  <rv s="0">
    <fb>388.99</fb>
    <v>0</v>
  </rv>
  <rv s="0">
    <fb>239.71</fb>
    <v>0</v>
  </rv>
  <rv s="0">
    <fb>22.77</fb>
    <v>0</v>
  </rv>
  <rv s="0">
    <fb>61.15</fb>
    <v>0</v>
  </rv>
  <rv s="0">
    <fb>26.53</fb>
    <v>0</v>
  </rv>
  <rv s="0">
    <fb>526.57000000000005</fb>
    <v>0</v>
  </rv>
  <rv s="0">
    <fb>421.5</fb>
    <v>0</v>
  </rv>
  <rv s="0">
    <fb>134.16</fb>
    <v>0</v>
  </rv>
  <rv s="0">
    <fb>90.35</fb>
    <v>0</v>
  </rv>
  <rv s="0">
    <fb>62.26</fb>
    <v>0</v>
  </rv>
  <rv s="0">
    <fb>289.89</fb>
    <v>0</v>
  </rv>
  <rv s="0">
    <fb>588.67999999999995</fb>
    <v>0</v>
  </rv>
  <rv s="0">
    <fb>404.6</fb>
    <v>0</v>
  </rv>
  <rv s="0">
    <fb>266.60000000000002</fb>
    <v>0</v>
  </rv>
  <rv s="0">
    <fb>120.07</fb>
    <v>0</v>
  </rv>
  <rv s="0">
    <fb>105.84</fb>
    <v>0</v>
  </rv>
  <rv s="0">
    <fb>689.18</fb>
    <v>0</v>
  </rv>
  <rv s="0">
    <fb>9.9205000000000005</fb>
    <v>0</v>
  </rv>
  <rv s="0">
    <fb>27.06</fb>
    <v>0</v>
  </rv>
  <rv s="0">
    <fb>39.57</fb>
    <v>0</v>
  </rv>
  <rv s="0">
    <fb>176.52</fb>
    <v>0</v>
  </rv>
  <rv s="0">
    <fb>371.44</fb>
    <v>0</v>
  </rv>
  <rv s="0">
    <fb>811.08</fb>
    <v>0</v>
  </rv>
  <rv s="0">
    <fb>204.02</fb>
    <v>0</v>
  </rv>
  <rv s="0">
    <fb>152.19999999999999</fb>
    <v>0</v>
  </rv>
  <rv s="0">
    <fb>106.83</fb>
    <v>0</v>
  </rv>
  <rv s="0">
    <fb>255.7</fb>
    <v>0</v>
  </rv>
  <rv s="0">
    <fb>236</fb>
    <v>0</v>
  </rv>
  <rv s="0">
    <fb>411.98</fb>
    <v>0</v>
  </rv>
  <rv s="0">
    <fb>267.3</fb>
    <v>0</v>
  </rv>
  <rv s="0">
    <fb>120.76</fb>
    <v>0</v>
  </rv>
  <rv s="0">
    <fb>23.73</fb>
    <v>0</v>
  </rv>
  <rv s="0">
    <fb>61.64</fb>
    <v>0</v>
  </rv>
  <rv s="0">
    <fb>26.52</fb>
    <v>0</v>
  </rv>
  <rv s="0">
    <fb>555.42999999999995</fb>
    <v>0</v>
  </rv>
  <rv s="0">
    <fb>415.06</fb>
    <v>0</v>
  </rv>
  <rv s="0">
    <fb>130.5</fb>
    <v>0</v>
  </rv>
  <rv s="0">
    <fb>98.16</fb>
    <v>0</v>
  </rv>
  <rv s="0">
    <fb>63.48</fb>
    <v>0</v>
  </rv>
  <rv s="0">
    <fb>288.7</fb>
    <v>0</v>
  </rv>
  <rv s="0">
    <fb>604.66</fb>
    <v>0</v>
  </rv>
  <rv s="0">
    <fb>292.98</fb>
    <v>0</v>
  </rv>
  <rv s="0">
    <fb>246.1</fb>
    <v>0</v>
  </rv>
  <rv s="0">
    <fb>124.92</fb>
    <v>0</v>
  </rv>
  <rv s="0">
    <fb>93.81</fb>
    <v>0</v>
  </rv>
  <rv s="0">
    <fb>668.2</fb>
    <v>0</v>
  </rv>
  <rv s="0">
    <fb>9.5500000000000007</fb>
    <v>0</v>
  </rv>
  <rv s="0">
    <fb>25.76</fb>
    <v>0</v>
  </rv>
  <rv s="0">
    <fb>45.35</fb>
    <v>0</v>
  </rv>
  <rv s="0">
    <fb>174.63</fb>
    <v>0</v>
  </rv>
  <rv s="0">
    <fb>53.97</fb>
    <v>0</v>
  </rv>
  <rv s="0">
    <fb>343.95</fb>
    <v>0</v>
  </rv>
  <rv s="0">
    <fb>920.63</fb>
    <v>0</v>
  </rv>
  <rv s="0">
    <fb>170.28</fb>
    <v>0</v>
  </rv>
  <rv s="0">
    <fb>155.12</fb>
    <v>0</v>
  </rv>
  <rv s="0">
    <fb>111.33</fb>
    <v>0</v>
  </rv>
  <rv s="0">
    <fb>228.93</fb>
    <v>0</v>
  </rv>
  <rv s="0">
    <fb>252.44</fb>
    <v>0</v>
  </rv>
  <rv s="0">
    <fb>241.84</fb>
    <v>0</v>
  </rv>
  <rv s="0">
    <fb>396.6</fb>
    <v>0</v>
  </rv>
  <rv s="0">
    <fb>264.64999999999998</fb>
    <v>0</v>
  </rv>
  <rv s="0">
    <fb>115.1</fb>
    <v>0</v>
  </rv>
  <rv s="0">
    <fb>27.41</fb>
    <v>0</v>
  </rv>
  <rv s="0">
    <fb>64.819999999999993</fb>
    <v>0</v>
  </rv>
  <rv s="0">
    <fb>26.43</fb>
    <v>0</v>
  </rv>
  <rv s="0">
    <fb>576.30999999999995</fb>
    <v>0</v>
  </rv>
  <rv s="0">
    <fb>396.99</fb>
    <v>0</v>
  </rv>
  <rv s="0">
    <fb>156.37</fb>
    <v>0</v>
  </rv>
  <rv s="0">
    <fb>98.61</fb>
    <v>0</v>
  </rv>
  <rv s="0">
    <fb>71.209999999999994</fb>
    <v>0</v>
  </rv>
  <rv s="0">
    <fb>308.33</fb>
    <v>0</v>
  </rv>
  <rv s="0">
    <fb>597.04</fb>
    <v>0</v>
  </rv>
  <rv s="0">
    <fb>259.16000000000003</fb>
    <v>0</v>
  </rv>
  <rv s="0">
    <fb>205.44</fb>
    <v>0</v>
  </rv>
  <rv s="0">
    <fb>108.38</fb>
    <v>0</v>
  </rv>
  <rv s="0">
    <fb>69.05</fb>
    <v>0</v>
  </rv>
  <rv s="0">
    <fb>576.36</fb>
    <v>0</v>
  </rv>
  <rv s="0">
    <fb>10.029999999999999</fb>
    <v>0</v>
  </rv>
  <rv s="0">
    <fb>25.25</fb>
    <v>0</v>
  </rv>
  <rv s="0">
    <fb>41.08</fb>
    <v>0</v>
  </rv>
  <rv s="0">
    <fb>170.55</fb>
    <v>0</v>
  </rv>
  <rv s="0">
    <fb>50.21</fb>
    <v>0</v>
  </rv>
  <rv s="0">
    <fb>329.8</fb>
    <v>0</v>
  </rv>
  <rv s="0">
    <fb>825.91</fb>
    <v>0</v>
  </rv>
  <rv s="0">
    <fb>154.63999999999999</fb>
    <v>0</v>
  </rv>
  <rv s="0">
    <fb>146.86000000000001</fb>
    <v>0</v>
  </rv>
  <rv s="0">
    <fb>217.13</fb>
    <v>0</v>
  </rv>
  <rv s="0">
    <fb>248.66</fb>
    <v>0</v>
  </rv>
  <rv s="0">
    <fb>222.13</fb>
    <v>0</v>
  </rv>
  <rv s="0">
    <fb>366.49</fb>
    <v>0</v>
  </rv>
  <rv s="0">
    <fb>245.3</fb>
    <v>0</v>
  </rv>
  <rv s="0">
    <fb>111.68</fb>
    <v>0</v>
  </rv>
  <rv s="0">
    <fb>28.28</fb>
    <v>0</v>
  </rv>
  <rv s="0">
    <fb>67.69</fb>
    <v>0</v>
  </rv>
  <rv s="0">
    <fb>25.34</fb>
    <v>0</v>
  </rv>
  <rv s="0">
    <fb>548.12</fb>
    <v>0</v>
  </rv>
  <rv s="0">
    <fb>157.36000000000001</fb>
    <v>0</v>
  </rv>
  <rv s="0">
    <fb>87.79</fb>
    <v>0</v>
  </rv>
  <rv s="0">
    <fb>71.62</fb>
    <v>0</v>
  </rv>
  <rv s="0">
    <fb>312.37</fb>
    <v>0</v>
  </rv>
  <rv s="0">
    <fb>561.9</fb>
    <v>0</v>
  </rv>
  <rv s="0">
    <fb>282.16000000000003</fb>
    <v>0</v>
  </rv>
  <rv s="0">
    <fb>214.91</fb>
    <v>0</v>
  </rv>
  <rv s="0">
    <fb>108.92</fb>
    <v>0</v>
  </rv>
  <rv s="0">
    <fb>68.819999999999993</fb>
    <v>0</v>
  </rv>
  <rv s="0">
    <fb>549</fb>
    <v>0</v>
  </rv>
  <rv s="0">
    <fb>10.01</fb>
    <v>0</v>
  </rv>
  <rv s="0">
    <fb>22.42</fb>
    <v>0</v>
  </rv>
  <rv s="0">
    <fb>34.53</fb>
    <v>0</v>
  </rv>
  <rv s="0">
    <fb>183.24</fb>
    <v>0</v>
  </rv>
  <rv s="0">
    <fb>50.52</fb>
    <v>0</v>
  </rv>
  <rv s="0">
    <fb>309.27</fb>
    <v>0</v>
  </rv>
  <rv s="0">
    <fb>898.95</fb>
    <v>0</v>
  </rv>
  <rv s="0">
    <fb>158.80000000000001</fb>
    <v>0</v>
  </rv>
  <rv s="0">
    <fb>138.91</fb>
    <v>0</v>
  </rv>
  <rv s="0">
    <fb>105.63</fb>
    <v>0</v>
  </rv>
  <rv s="0">
    <fb>186.87</fb>
    <v>0</v>
  </rv>
  <rv s="0">
    <fb>241.82</fb>
    <v>0</v>
  </rv>
  <rv s="0">
    <fb>212.5</fb>
    <v>0</v>
  </rv>
  <rv s="0">
    <fb>360.49</fb>
    <v>0</v>
  </rv>
  <rv s="0">
    <fb>244.62</fb>
    <v>0</v>
  </rv>
  <rv s="0">
    <fb>102.71</fb>
    <v>0</v>
  </rv>
  <rv s="0">
    <fb>27.7</fb>
    <v>0</v>
  </rv>
  <rv s="0">
    <fb>72.209999999999994</fb>
    <v>0</v>
  </rv>
  <rv s="0">
    <fb>24.41</fb>
    <v>0</v>
  </rv>
  <rv s="0">
    <fb>548.05999999999995</fb>
    <v>0</v>
  </rv>
  <rv s="0">
    <fb>395.26</fb>
    <v>0</v>
  </rv>
  <rv s="0">
    <fb>150.44</fb>
    <v>0</v>
  </rv>
  <rv s="0">
    <fb>97.25</fb>
    <v>0</v>
  </rv>
  <rv s="0">
    <fb>72.55</fb>
    <v>0</v>
  </rv>
  <rv s="0">
    <fb>319.64999999999998</fb>
    <v>0</v>
  </rv>
  <rv s="0">
    <fb>557.96</fb>
    <v>0</v>
  </rv>
  <rv s="0">
    <fb>346.46</fb>
    <v>0</v>
  </rv>
  <rv s="0">
    <fb>256.97000000000003</fb>
    <v>0</v>
  </rv>
  <rv s="0">
    <fb>135.13</fb>
    <v>0</v>
  </rv>
  <rv s="0">
    <fb>79.444999999999993</fb>
    <v>0</v>
  </rv>
  <rv s="0">
    <fb>647.49</fb>
    <v>0</v>
  </rv>
  <rv s="0">
    <fb>10.38</fb>
    <v>0</v>
  </rv>
  <rv s="0">
    <fb>24.21</fb>
    <v>0</v>
  </rv>
  <rv s="0">
    <fb>45.25</fb>
    <v>0</v>
  </rv>
  <rv s="0">
    <fb>207.32</fb>
    <v>0</v>
  </rv>
  <rv s="0">
    <fb>50.08</fb>
    <v>0</v>
  </rv>
  <rv s="0">
    <fb>348.03</fb>
    <v>0</v>
  </rv>
  <rv s="0">
    <fb>737.67</fb>
    <v>0</v>
  </rv>
  <rv s="0">
    <fb>171.74</fb>
    <v>0</v>
  </rv>
  <rv s="0">
    <fb>148.35</fb>
    <v>0</v>
  </rv>
  <rv s="0">
    <fb>102.3</fb>
    <v>0</v>
  </rv>
  <rv s="0">
    <fb>202.97</fb>
    <v>0</v>
  </rv>
  <rv s="0">
    <fb>259.06</fb>
    <v>0</v>
  </rv>
  <rv s="0">
    <fb>200.85</fb>
    <v>0</v>
  </rv>
  <rv s="0">
    <fb>368.29</fb>
    <v>0</v>
  </rv>
  <rv s="0">
    <fb>264</fb>
    <v>0</v>
  </rv>
  <rv s="0">
    <fb>103.89</fb>
    <v>0</v>
  </rv>
  <rv s="0">
    <fb>27.8</fb>
    <v>0</v>
  </rv>
  <rv s="0">
    <fb>68.23</fb>
    <v>0</v>
  </rv>
  <rv s="0">
    <fb>23.49</fb>
    <v>0</v>
  </rv>
  <rv s="0">
    <fb>585.6</fb>
    <v>0</v>
  </rv>
  <rv s="0">
    <fb>460.36</fb>
    <v>0</v>
  </rv>
  <rv s="0">
    <fb>143.94</fb>
    <v>0</v>
  </rv>
  <rv s="0">
    <fb>98.72</fb>
    <v>0</v>
  </rv>
  <rv s="0">
    <fb>72.099999999999994</fb>
    <v>0</v>
  </rv>
  <rv s="0">
    <fb>313.85000000000002</fb>
    <v>0</v>
  </rv>
  <rv s="0">
    <fb>592.15</fb>
    <v>0</v>
  </rv>
  <rv s="0">
    <fb>317.66000000000003</fb>
    <v>0</v>
  </rv>
  <rv s="0">
    <fb>313.14</fb>
    <v>0</v>
  </rv>
  <rv s="0">
    <fb>157.99</fb>
    <v>0</v>
  </rv>
  <rv s="0">
    <fb>79.63</fb>
    <v>0</v>
  </rv>
  <rv s="0">
    <fb>738.09</fb>
    <v>0</v>
  </rv>
  <rv s="0">
    <fb>10.85</fb>
    <v>0</v>
  </rv>
  <rv s="0">
    <fb>23.6</fb>
    <v>0</v>
  </rv>
  <rv s="0">
    <fb>48.94</fb>
    <v>0</v>
  </rv>
  <rv s="0">
    <fb>209.53</fb>
    <v>0</v>
  </rv>
  <rv s="0">
    <fb>56.15</fb>
    <v>0</v>
  </rv>
  <rv s="0">
    <fb>388.21</fb>
    <v>0</v>
  </rv>
  <rv s="0">
    <fb>779.53</fb>
    <v>0</v>
  </rv>
  <rv s="0">
    <fb>176.23</fb>
    <v>0</v>
  </rv>
  <rv s="0">
    <fb>152.24</fb>
    <v>0</v>
  </rv>
  <rv s="0">
    <fb>107.8</fb>
    <v>0</v>
  </rv>
  <rv s="0">
    <fb>208.72</fb>
    <v>0</v>
  </rv>
  <rv s="0">
    <fb>294.77999999999997</fb>
    <v>0</v>
  </rv>
  <rv s="0">
    <fb>205.17</fb>
    <v>0</v>
  </rv>
  <rv s="0">
    <fb>366.64</fb>
    <v>0</v>
  </rv>
  <rv s="0">
    <fb>289.91000000000003</fb>
    <v>0</v>
  </rv>
  <rv s="0">
    <fb>107.44</fb>
    <v>0</v>
  </rv>
  <rv s="0">
    <fb>71.73</fb>
    <v>0</v>
  </rv>
  <rv s="0">
    <fb>24.24</fb>
    <v>0</v>
  </rv>
  <rv s="0">
    <fb>561.94000000000005</fb>
    <v>0</v>
  </rv>
  <rv s="0">
    <fb>497.41</fb>
    <v>0</v>
  </rv>
  <rv s="0">
    <fb>148.18</fb>
    <v>0</v>
  </rv>
  <rv s="0">
    <fb>70.75</fb>
    <v>0</v>
  </rv>
  <rv s="0">
    <fb>292.17</fb>
    <v>0</v>
  </rv>
  <rv s="0">
    <fb>620.9</fb>
    <v>0</v>
  </rv>
  <rv s="0">
    <fb>308.27</fb>
    <v>0</v>
  </rv>
  <rv s="0">
    <fb>317.87</fb>
    <v>0</v>
  </rv>
  <rv s="0">
    <fb>177.87</fb>
    <v>0</v>
  </rv>
  <rv s="0">
    <fb>88.31</fb>
    <v>0</v>
  </rv>
  <rv s="0">
    <fb>773.44</fb>
    <v>0</v>
  </rv>
  <rv s="0">
    <fb>11.07</fb>
    <v>0</v>
  </rv>
  <rv s="0">
    <fb>24.33</fb>
    <v>0</v>
  </rv>
  <rv s="0">
    <fb>42.41</fb>
    <v>0</v>
  </rv>
  <rv s="0">
    <fb>221.84</fb>
    <v>0</v>
  </rv>
  <rv s="0">
    <fb>438.02</fb>
    <v>0</v>
  </rv>
  <rv s="0">
    <fb>740.07</fb>
    <v>0</v>
  </rv>
  <rv s="0">
    <fb>191.9</fb>
    <v>0</v>
  </rv>
  <rv s="0">
    <fb>149.22</fb>
    <v>0</v>
  </rv>
  <rv s="0">
    <fb>111.64</fb>
    <v>0</v>
  </rv>
  <rv s="0">
    <fb>218.76</fb>
    <v>0</v>
  </rv>
  <rv s="0">
    <fb>253.15</fb>
    <v>0</v>
  </rv>
  <rv s="0">
    <fb>207.57</fb>
    <v>0</v>
  </rv>
  <rv s="0">
    <fb>367.51</fb>
    <v>0</v>
  </rv>
  <rv s="0">
    <fb>296.24</fb>
    <v>0</v>
  </rv>
  <rv s="0">
    <fb>103.58</fb>
    <v>0</v>
  </rv>
  <rv s="0">
    <fb>70.099999999999994</fb>
    <v>0</v>
  </rv>
  <rv s="0">
    <fb>23.29</fb>
    <v>0</v>
  </rv>
  <rv s="0">
    <fb>566.47</fb>
    <v>0</v>
  </rv>
  <rv s="0">
    <fb>533.5</fb>
    <v>0</v>
  </rv>
  <rv s="0">
    <fb>144.15</fb>
    <v>0</v>
  </rv>
  <rv s="0">
    <fb>97.98</fb>
    <v>0</v>
  </rv>
  <rv s="0">
    <fb>67.89</fb>
    <v>0</v>
  </rv>
  <rv s="0">
    <fb>300.07</fb>
    <v>0</v>
  </rv>
  <rv s="0">
    <fb>634.9</fb>
    <v>0</v>
  </rv>
  <rv s="0">
    <fb>333.87</fb>
    <v>0</v>
  </rv>
  <rv s="0">
    <fb>363.22</fb>
    <v>0</v>
  </rv>
  <rv s="0">
    <fb>174.18</fb>
    <v>0</v>
  </rv>
  <rv s="0">
    <fb>105</fb>
    <v>0</v>
  </rv>
  <rv s="0">
    <fb>738.7</fb>
    <v>0</v>
  </rv>
  <rv s="0">
    <fb>11.77</fb>
    <v>0</v>
  </rv>
  <rv s="0">
    <fb>29.12</fb>
    <v>0</v>
  </rv>
  <rv s="0">
    <fb>48.71</fb>
    <v>0</v>
  </rv>
  <rv s="0">
    <fb>234.68</fb>
    <v>0</v>
  </rv>
  <rv s="0">
    <fb>42.14</fb>
    <v>0</v>
  </rv>
  <rv s="0">
    <fb>419.04</fb>
    <v>0</v>
  </rv>
  <rv s="0">
    <fb>732.58</fb>
    <v>0</v>
  </rv>
  <rv s="0">
    <fb>212.91</fb>
    <v>0</v>
  </rv>
  <rv s="0">
    <fb>155.53</fb>
    <v>0</v>
  </rv>
  <rv s="0">
    <fb>114.29</fb>
    <v>0</v>
  </rv>
  <rv s="0">
    <fb>243.49</fb>
    <v>0</v>
  </rv>
  <rv s="0">
    <fb>232.14</fb>
    <v>0</v>
  </rv>
  <rv s="0">
    <fb>406.77</fb>
    <v>0</v>
  </rv>
  <rv s="0">
    <fb>301.42</fb>
    <v>0</v>
  </rv>
  <rv s="0">
    <fb>29.29</fb>
    <v>0</v>
  </rv>
  <rv s="0">
    <fb>67.84</fb>
    <v>0</v>
  </rv>
  <rv s="0">
    <fb>24.76</fb>
    <v>0</v>
  </rv>
  <rv s="0">
    <fb>595.29</fb>
    <v>0</v>
  </rv>
  <rv s="0">
    <fb>506.69</fb>
    <v>0</v>
  </rv>
  <rv s="0">
    <fb>146.97</fb>
    <v>0</v>
  </rv>
  <rv s="0">
    <fb>96.98</fb>
    <v>0</v>
  </rv>
  <rv s="0">
    <fb>68.989999999999995</fb>
    <v>0</v>
  </rv>
  <rv s="0">
    <fb>313.54000000000002</fb>
    <v>0</v>
  </rv>
  <rv s="0">
    <fb>648.32000000000005</fb>
    <v>0</v>
  </rv>
  <rv s="0">
    <fb>444.72</fb>
    <v>0</v>
  </rv>
  <rv s="0">
    <fb>323.58</fb>
    <v>0</v>
  </rv>
  <rv s="0">
    <fb>186.58</fb>
    <v>0</v>
  </rv>
  <rv s="0">
    <fb>96.5</fb>
    <v>0</v>
  </rv>
  <rv s="0">
    <fb>734.38</fb>
    <v>0</v>
  </rv>
  <rv s="0">
    <fb>11.96</fb>
    <v>0</v>
  </rv>
  <rv s="0">
    <fb>27.9</fb>
    <v>0</v>
  </rv>
  <rv s="0">
    <fb>215.83</fb>
    <v>0</v>
  </rv>
  <rv s="0">
    <fb>39.19</fb>
    <v>0</v>
  </rv>
  <rv s="0">
    <fb>477.15</fb>
    <v>0</v>
  </rv>
  <rv s="0">
    <fb>763</fb>
    <v>0</v>
  </rv>
  <rv s="0">
    <fb>243.1</fb>
    <v>0</v>
  </rv>
  <rv s="0">
    <fb>155.18</fb>
    <v>0</v>
  </rv>
  <rv s="0">
    <fb>112.75</fb>
    <v>0</v>
  </rv>
  <rv s="0">
    <fb>246.22</fb>
    <v>0</v>
  </rv>
  <rv s="0">
    <fb>254.63</fb>
    <v>0</v>
  </rv>
  <rv s="0">
    <fb>405.19</fb>
    <v>0</v>
  </rv>
  <rv s="0">
    <fb>315.43</fb>
    <v>0</v>
  </rv>
  <rv s="0">
    <fb>28.24</fb>
    <v>0</v>
  </rv>
  <rv s="0">
    <fb>67.41</fb>
    <v>0</v>
  </rv>
  <rv s="0">
    <fb>25.48</fb>
    <v>0</v>
  </rv>
  <rv s="0">
    <fb>568.80999999999995</fb>
    <v>0</v>
  </rv>
  <rv s="0">
    <fb>517.95000000000005</fb>
    <v>0</v>
  </rv>
  <rv s="0">
    <fb>152</fb>
    <v>0</v>
  </rv>
  <rv s="0">
    <fb>103.06</fb>
    <v>0</v>
  </rv>
  <rv s="0">
    <fb>66.319999999999993</fb>
    <v>0</v>
  </rv>
  <rv s="0">
    <fb>303.89</fb>
    <v>0</v>
  </rv>
  <rv s="0">
    <fb>669.3</fb>
    <v>0</v>
  </rv>
  <rv s="0">
    <fb>456.56</fb>
    <v>0</v>
  </rv>
  <rv s="0">
    <fb>286.83</fb>
    <v>0</v>
  </rv>
  <rv s="0">
    <fb>202.49</fb>
    <v>0</v>
  </rv>
  <rv s="0">
    <fb>94.04</fb>
    <v>0</v>
  </rv>
  <rv s="0">
    <fb>648.35</fb>
    <v>0</v>
  </rv>
  <rv s="0">
    <fb>13.13</fb>
    <v>0</v>
  </rv>
  <rv s="0">
    <fb>26.98</fb>
    <v>0</v>
  </rv>
  <rv s="0">
    <fb>50.81</fb>
    <v>0</v>
  </rv>
  <rv s="0">
    <fb>201.02</fb>
    <v>0</v>
  </rv>
  <rv s="0">
    <fb>31.69</fb>
    <v>0</v>
  </rv>
  <rv s="0">
    <fb>577.26</fb>
    <v>0</v>
  </rv>
  <rv s="0">
    <fb>862.86</fb>
    <v>0</v>
  </rv>
  <rv s="0">
    <fb>281.19</fb>
    <v>0</v>
  </rv>
  <rv s="0">
    <fb>166.5</fb>
    <v>0</v>
  </rv>
  <rv s="0">
    <fb>114.36</fb>
    <v>0</v>
  </rv>
  <rv s="0">
    <fb>213.94</fb>
    <v>0</v>
  </rv>
  <rv s="0">
    <fb>307.41000000000003</fb>
    <v>0</v>
  </rv>
  <rv s="0">
    <fb>270.37</fb>
    <v>0</v>
  </rv>
  <rv s="0">
    <fb>379.59</fb>
    <v>0</v>
  </rv>
  <rv s="0">
    <fb>311.12</fb>
    <v>0</v>
  </rv>
  <rv s="0">
    <fb>104</fb>
    <v>0</v>
  </rv>
  <rv s="0">
    <fb>24.75</fb>
    <v>0</v>
  </rv>
  <rv s="0">
    <fb>63.63</fb>
    <v>0</v>
  </rv>
  <rv s="0">
    <fb>24.65</fb>
    <v>0</v>
  </rv>
  <rv s="0">
    <fb>551.99</fb>
    <v>0</v>
  </rv>
  <rv s="0">
    <fb>517.80999999999995</fb>
    <v>0</v>
  </rv>
  <rv s="0">
    <fb>138.21</fb>
    <v>0</v>
  </rv>
  <rv s="0">
    <fb>101.18</fb>
    <v>0</v>
  </rv>
  <rv s="0">
    <fb>68.900000000000006</fb>
    <v>0</v>
  </rv>
  <rv s="0">
    <fb>298.43</fb>
    <v>0</v>
  </rv>
  <rv s="0">
    <fb>685.23</fb>
    <v>0</v>
  </rv>
  <rv s="0">
    <fb>266.25</fb>
    <v>0</v>
  </rv>
  <rv s="0">
    <fb>101.96</fb>
    <v>0</v>
  </rv>
  <rv s="0">
    <fb>647.95000000000005</fb>
    <v>0</v>
  </rv>
  <rv s="0">
    <fb>13.28</fb>
    <v>0</v>
  </rv>
  <rv s="0">
    <fb>24.49</fb>
    <v>0</v>
  </rv>
  <rv s="0">
    <fb>42.07</fb>
    <v>0</v>
  </rv>
  <rv s="0">
    <fb>189</fb>
    <v>0</v>
  </rv>
  <rv s="0">
    <fb>34.520000000000003</fb>
    <v>0</v>
  </rv>
  <rv s="0">
    <fb>575.76</fb>
    <v>0</v>
  </rv>
  <rv s="0">
    <fb>1075.47</fb>
    <v>0</v>
  </rv>
  <rv s="0">
    <fb>320.18</fb>
    <v>0</v>
  </rv>
  <rv s="0">
    <fb>172.05</fb>
    <v>0</v>
  </rv>
  <rv s="0">
    <fb>115.92</fb>
    <v>0</v>
  </rv>
  <rv s="0">
    <fb>195.32</fb>
    <v>0</v>
  </rv>
  <rv s="0">
    <fb>308.58</fb>
    <v>0</v>
  </rv>
  <rv s="0">
    <fb>278.85000000000002</fb>
    <v>0</v>
  </rv>
  <rv s="0">
    <fb>356.92</fb>
    <v>0</v>
  </rv>
  <rv s="0">
    <fb>313.08</fb>
    <v>0</v>
  </rv>
  <rv s="0">
    <fb>108.25</fb>
    <v>0</v>
  </rv>
  <rv s="0">
    <fb>26.02</fb>
    <v>0</v>
  </rv>
  <rv s="0">
    <fb>67.28</fb>
    <v>0</v>
  </rv>
  <rv s="0">
    <fb>25.74</fb>
    <v>0</v>
  </rv>
  <rv s="0">
    <fb>550.53</fb>
    <v>0</v>
  </rv>
  <rv s="0">
    <fb>492.01</fb>
    <v>0</v>
  </rv>
  <rv s="0">
    <fb>153.21</fb>
    <v>0</v>
  </rv>
  <rv s="0">
    <fb>110.51</fb>
    <v>0</v>
  </rv>
  <rv s="0">
    <fb>73.12</fb>
    <v>0</v>
  </rv>
  <rv s="0">
    <fb>311.82</fb>
    <v>0</v>
  </rv>
  <rv s="0">
    <fb>686.88</fb>
    <v>0</v>
  </rv>
  <rv s="1">
    <v>1</v>
    <v>t</v>
    <v>Monthly</v>
    <v>44136</v>
    <v>45991</v>
    <v>0</v>
    <v>1</v>
    <v>638998848000000000,639021962065171240,0</v>
    <v>0</v>
    <v>a23www</v>
    <v>XNYS:T</v>
    <v>1</v>
  </rv>
  <rv s="1">
    <v>1</v>
    <v>hd</v>
    <v>Monthly</v>
    <v>44136</v>
    <v>45991</v>
    <v>0</v>
    <v>1</v>
    <v>638998848000000000,639021962069894835,0</v>
    <v>0</v>
    <v>a1uj52</v>
    <v>XNYS:HD</v>
    <v>2</v>
  </rv>
  <rv s="1">
    <v>1</v>
    <v>ual</v>
    <v>Monthly</v>
    <v>44136</v>
    <v>45991</v>
    <v>0</v>
    <v>1</v>
    <v>638998848000000000,639021962064268070,0</v>
    <v>0</v>
    <v>a24qnm</v>
    <v>XNAS:UAL</v>
    <v>3</v>
  </rv>
  <rv s="1">
    <v>1</v>
    <v>pfe</v>
    <v>Monthly</v>
    <v>44136</v>
    <v>45991</v>
    <v>0</v>
    <v>1</v>
    <v>638998848000000000,639021962063351027,0</v>
    <v>0</v>
    <v>a1zqnm</v>
    <v>XNYS:PFE</v>
    <v>4</v>
  </rv>
  <rv s="1">
    <v>1</v>
    <v>ko</v>
    <v>Monthly</v>
    <v>44136</v>
    <v>45991</v>
    <v>0</v>
    <v>1</v>
    <v>638998848000000000,639021962068805338,0</v>
    <v>0</v>
    <v>a1wljc</v>
    <v>XNYS:KO</v>
    <v>5</v>
  </rv>
  <rv s="1">
    <v>1</v>
    <v>f</v>
    <v>Monthly</v>
    <v>44136</v>
    <v>45991</v>
    <v>0</v>
    <v>1</v>
    <v>638998848000000000,639021962064804962,0</v>
    <v>0</v>
    <v>a1sjw7</v>
    <v>XNYS:F</v>
    <v>6</v>
  </rv>
  <rv s="1">
    <v>1</v>
    <v>hog</v>
    <v>Monthly</v>
    <v>44136</v>
    <v>45991</v>
    <v>0</v>
    <v>1</v>
    <v>638998848000000000,639021962064042501,0</v>
    <v>0</v>
    <v>a1usim</v>
    <v>XNYS:HOG</v>
    <v>7</v>
  </rv>
  <rv s="1">
    <v>1</v>
    <v>msft</v>
    <v>Monthly</v>
    <v>44136</v>
    <v>45991</v>
    <v>0</v>
    <v>1</v>
    <v>638998848000000000,639021962064932811,0</v>
    <v>0</v>
    <v>a1xzim</v>
    <v>XNAS:MSFT</v>
    <v>8</v>
  </rv>
  <rv s="1">
    <v>1</v>
    <v>cmg</v>
    <v>Monthly</v>
    <v>44136</v>
    <v>45991</v>
    <v>0</v>
    <v>1</v>
    <v>638998848000000000,639021962066313007,0</v>
    <v>0</v>
    <v>a1pxbh</v>
    <v>XNYS:CMG</v>
    <v>9</v>
  </rv>
  <rv s="1">
    <v>1</v>
    <v>googl</v>
    <v>Monthly</v>
    <v>44136</v>
    <v>45991</v>
    <v>0</v>
    <v>1</v>
    <v>638998848000000000,639021962064304127,0</v>
    <v>0</v>
    <v>a1u3rw</v>
    <v>XNAS:GOOGL</v>
    <v>10</v>
  </rv>
  <rv s="1">
    <v>1</v>
    <v>meta</v>
    <v>Monthly</v>
    <v>44136</v>
    <v>45991</v>
    <v>0</v>
    <v>1</v>
    <v>638998848000000000,639021962063797557,0</v>
    <v>0</v>
    <v>a1slm7</v>
    <v>XNAS:META</v>
    <v>11</v>
  </rv>
  <rv s="1">
    <v>1</v>
    <v>ma</v>
    <v>Monthly</v>
    <v>44136</v>
    <v>45991</v>
    <v>0</v>
    <v>1</v>
    <v>638998848000000000,639021962067725900,0</v>
    <v>0</v>
    <v>a1x8w7</v>
    <v>XNYS:MA</v>
    <v>12</v>
  </rv>
  <rv s="1">
    <v>1</v>
    <v>rcl</v>
    <v>Monthly</v>
    <v>44136</v>
    <v>45991</v>
    <v>0</v>
    <v>1</v>
    <v>638998848000000000,639021962064554950,0</v>
    <v>0</v>
    <v>a21rw7</v>
    <v>XNYS:RCL</v>
    <v>13</v>
  </rv>
  <rv s="1">
    <v>1</v>
    <v>mmm</v>
    <v>Monthly</v>
    <v>44136</v>
    <v>45991</v>
    <v>0</v>
    <v>1</v>
    <v>638998848000000000,639021962066628344,0</v>
    <v>0</v>
    <v>a1xroc</v>
    <v>XNYS:MMM</v>
    <v>14</v>
  </rv>
  <rv s="1">
    <v>1</v>
    <v>IVV</v>
    <v>Monthly</v>
    <v>44136</v>
    <v>45991</v>
    <v>0</v>
    <v>1</v>
    <v>638998848000000000,639021961868933885,0</v>
    <v>0</v>
    <v>a1vwrw</v>
    <v>ARCX:IVV</v>
    <v>15</v>
  </rv>
  <rv s="1">
    <v>1</v>
    <v>nvda</v>
    <v>Monthly</v>
    <v>44136</v>
    <v>45991</v>
    <v>0</v>
    <v>1</v>
    <v>638998848000000000,639021962066083605,0</v>
    <v>0</v>
    <v>a1yv52</v>
    <v>XNAS:NVDA</v>
    <v>16</v>
  </rv>
  <rv s="1">
    <v>1</v>
    <v>mcd</v>
    <v>Monthly</v>
    <v>44136</v>
    <v>45991</v>
    <v>0</v>
    <v>1</v>
    <v>638998848000000000,639021962070436036,0</v>
    <v>0</v>
    <v>a1xdec</v>
    <v>XNYS:MCD</v>
    <v>17</v>
  </rv>
  <rv s="1">
    <v>1</v>
    <v>xom</v>
    <v>Monthly</v>
    <v>44136</v>
    <v>45991</v>
    <v>0</v>
    <v>1</v>
    <v>638998848000000000,639021962067180906,0</v>
    <v>0</v>
    <v>a269ec</v>
    <v>XNYS:XOM</v>
    <v>18</v>
  </rv>
  <rv s="1">
    <v>1</v>
    <v>aapl</v>
    <v>Monthly</v>
    <v>44136</v>
    <v>45991</v>
    <v>0</v>
    <v>1</v>
    <v>638998848000000000,639021962068270319,0</v>
    <v>0</v>
    <v>a1mou2</v>
    <v>XNAS:AAPL</v>
    <v>19</v>
  </rv>
  <rv s="1">
    <v>1</v>
    <v>lly</v>
    <v>Monthly</v>
    <v>44136</v>
    <v>45991</v>
    <v>0</v>
    <v>1</v>
    <v>638998848000000000,639021962069346253,0</v>
    <v>0</v>
    <v>a1wyu2</v>
    <v>XNYS:LLY</v>
    <v>20</v>
  </rv>
  <rv s="1">
    <v>1</v>
    <v>jpm</v>
    <v>Monthly</v>
    <v>44136</v>
    <v>45991</v>
    <v>0</v>
    <v>1</v>
    <v>638998848000000000,639021962070988795,0</v>
    <v>0</v>
    <v>a1waa2</v>
    <v>XNYS:JPM</v>
    <v>21</v>
  </rv>
  <rv s="1">
    <v>1</v>
    <v>yum</v>
    <v>Monthly</v>
    <v>44136</v>
    <v>45991</v>
    <v>0</v>
    <v>1</v>
    <v>638998848000000000,639021962063567792,0</v>
    <v>0</v>
    <v>a26em7</v>
    <v>XNYS:YUM</v>
    <v>22</v>
  </rv>
  <rv s="1">
    <v>1</v>
    <v>pzza</v>
    <v>Monthly</v>
    <v>44136</v>
    <v>45991</v>
    <v>0</v>
    <v>1</v>
    <v>638998848000000000,639021962064496244,0</v>
    <v>0</v>
    <v>a21j9c</v>
    <v>XNAS:PZZA</v>
    <v>23</v>
  </rv>
  <rv s="1">
    <v>1</v>
    <v>wmt</v>
    <v>Monthly</v>
    <v>44136</v>
    <v>45991</v>
    <v>0</v>
    <v>1</v>
    <v>638998848000000000,639021962064723729,0</v>
    <v>0</v>
    <v>a25ya2</v>
    <v>XNAS:WMT</v>
    <v>24</v>
  </rv>
  <rv s="1">
    <v>1</v>
    <v>cat</v>
    <v>Monthly</v>
    <v>44136</v>
    <v>45991</v>
    <v>0</v>
    <v>1</v>
    <v>638998848000000000,639021962065406321,0</v>
    <v>0</v>
    <v>a1p7zr</v>
    <v>XNYS:CAT</v>
    <v>25</v>
  </rv>
  <rv s="1">
    <v>1</v>
    <v>pru</v>
    <v>Monthly</v>
    <v>44136</v>
    <v>45991</v>
    <v>0</v>
    <v>1</v>
    <v>638998848000000000,639021962064036554,0</v>
    <v>0</v>
    <v>a218k2</v>
    <v>XNYS:PRU</v>
    <v>26</v>
  </rv>
  <rv s="1">
    <v>1</v>
    <v>grmn</v>
    <v>Monthly</v>
    <v>44136</v>
    <v>45991</v>
    <v>0</v>
    <v>1</v>
    <v>638998848000000000,639021962065060138,0</v>
    <v>0</v>
    <v>a1u6sm</v>
    <v>XNYS:GRMN</v>
    <v>27</v>
  </rv>
  <rv s="1">
    <v>1</v>
    <v>kr</v>
    <v>Monthly</v>
    <v>44136</v>
    <v>45991</v>
    <v>0</v>
    <v>1</v>
    <v>638998848000000000,639021962065302280,0</v>
    <v>0</v>
    <v>a1wmu2</v>
    <v>XNYS:KR</v>
    <v>28</v>
  </rv>
  <rv s="1">
    <v>1</v>
    <v>tsla</v>
    <v>Monthly</v>
    <v>44136</v>
    <v>45991</v>
    <v>0</v>
    <v>1</v>
    <v>638998848000000000,639021962065789558,0</v>
    <v>0</v>
    <v>a24kar</v>
    <v>XNAS:TSLA</v>
    <v>29</v>
  </rv>
  <rv s="1">
    <v>1</v>
    <v>ibm</v>
    <v>Monthly</v>
    <v>44136</v>
    <v>45991</v>
    <v>0</v>
    <v>1</v>
    <v>638998848000000000,639021962065550814,0</v>
    <v>0</v>
    <v>a1v6nm</v>
    <v>XNYS:IBM</v>
    <v>30</v>
  </rv>
  <rv s="1">
    <v>1</v>
    <v>ba</v>
    <v>Monthly</v>
    <v>44136</v>
    <v>45991</v>
    <v>0</v>
    <v>1</v>
    <v>638998848000000000,639021962066047505,0</v>
    <v>0</v>
    <v>a1o4ec</v>
    <v>XNYS:BA</v>
    <v>31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2">
    <spb s="0">
      <v>1</v>
    </spb>
    <spb s="1">
      <v>2</v>
      <v>1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0" formatCode="General"/>
    </x:dxf>
    <x:dxf>
      <x:numFmt numFmtId="19" formatCode="m/d/yyyy"/>
    </x:dxf>
  </dxfs>
  <richProperties>
    <rPr n="NumberFormat" t="s"/>
  </richProperties>
  <richStyles>
    <rSty dxfid="0">
      <rpv i="0">_([$$-en-US]* #,##0.00_);_([$$-en-US]* (#,##0.00);_([$$-en-US]* "-"??_);_(@_)</rpv>
    </rSty>
    <rSty dxfid="1"/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3DA63-45B0-426F-B90C-D4E10D4341EC}">
  <dimension ref="A1:K41"/>
  <sheetViews>
    <sheetView tabSelected="1" workbookViewId="0">
      <selection activeCell="D13" sqref="D13"/>
    </sheetView>
  </sheetViews>
  <sheetFormatPr defaultColWidth="9" defaultRowHeight="15.75" x14ac:dyDescent="0.25"/>
  <cols>
    <col min="1" max="2" width="9" style="1"/>
    <col min="3" max="3" width="7.0625" style="1" customWidth="1"/>
    <col min="4" max="16384" width="9" style="1"/>
  </cols>
  <sheetData>
    <row r="1" spans="1:11" s="17" customFormat="1" ht="26.25" x14ac:dyDescent="0.4">
      <c r="A1" s="2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s="17" customFormat="1" ht="26.25" x14ac:dyDescent="0.4">
      <c r="A2" s="17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x14ac:dyDescent="0.25">
      <c r="A4" s="7" t="s">
        <v>2</v>
      </c>
      <c r="B4" s="8">
        <f ca="1">TODAY()</f>
        <v>46015</v>
      </c>
      <c r="C4" s="5" t="s">
        <v>3</v>
      </c>
      <c r="D4" s="6"/>
      <c r="E4" s="6"/>
      <c r="F4" s="6"/>
      <c r="G4" s="6"/>
      <c r="H4" s="6"/>
      <c r="I4" s="6"/>
      <c r="J4" s="6"/>
      <c r="K4" s="6"/>
    </row>
    <row r="5" spans="1:11" x14ac:dyDescent="0.25">
      <c r="A5" s="9" t="s">
        <v>4</v>
      </c>
      <c r="B5" s="10">
        <f ca="1">DATE(YEAR(B4)-5,MONTH(B4)-1,1)</f>
        <v>44136</v>
      </c>
      <c r="C5" s="1" t="s">
        <v>5</v>
      </c>
      <c r="D5" s="6"/>
      <c r="E5" s="6"/>
      <c r="F5" s="6"/>
      <c r="G5" s="6"/>
      <c r="H5" s="6"/>
      <c r="I5" s="6"/>
      <c r="J5" s="6"/>
      <c r="K5" s="6"/>
    </row>
    <row r="6" spans="1:11" x14ac:dyDescent="0.25">
      <c r="A6" s="11" t="s">
        <v>6</v>
      </c>
      <c r="B6" s="12">
        <f ca="1">DATE(YEAR(B4), MONTH(B4)-1,28)</f>
        <v>45989</v>
      </c>
      <c r="C6" s="1" t="s">
        <v>7</v>
      </c>
      <c r="D6" s="6"/>
      <c r="E6" s="6"/>
      <c r="F6" s="6"/>
      <c r="G6" s="6"/>
      <c r="H6" s="6"/>
      <c r="I6" s="6"/>
      <c r="J6" s="6"/>
      <c r="K6" s="6"/>
    </row>
    <row r="7" spans="1:11" x14ac:dyDescent="0.25">
      <c r="A7" s="11"/>
      <c r="B7" s="13"/>
      <c r="C7" s="1" t="s">
        <v>8</v>
      </c>
      <c r="D7" s="6"/>
      <c r="E7" s="6"/>
      <c r="F7" s="6"/>
      <c r="G7" s="6"/>
      <c r="H7" s="6"/>
      <c r="I7" s="6"/>
      <c r="J7" s="6"/>
      <c r="K7" s="6"/>
    </row>
    <row r="8" spans="1:11" x14ac:dyDescent="0.25">
      <c r="A8" s="6"/>
      <c r="B8" s="6"/>
      <c r="C8" s="1" t="s">
        <v>9</v>
      </c>
      <c r="D8" s="6"/>
      <c r="E8" s="6"/>
      <c r="F8" s="6"/>
      <c r="G8" s="6"/>
      <c r="H8" s="6"/>
      <c r="I8" s="6"/>
      <c r="J8" s="6"/>
      <c r="K8" s="6"/>
    </row>
    <row r="9" spans="1:11" x14ac:dyDescent="0.25">
      <c r="A9" s="14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25">
      <c r="B10" s="5"/>
      <c r="C10" s="5" t="s">
        <v>10</v>
      </c>
      <c r="D10" s="6"/>
      <c r="E10" s="6"/>
      <c r="F10" s="6"/>
      <c r="G10" s="6"/>
      <c r="H10" s="6"/>
      <c r="I10" s="6"/>
      <c r="J10" s="6"/>
      <c r="K10" s="6"/>
    </row>
    <row r="11" spans="1:11" x14ac:dyDescent="0.25">
      <c r="A11" s="3"/>
      <c r="B11" s="4">
        <v>1</v>
      </c>
      <c r="C11" s="46" t="s">
        <v>60</v>
      </c>
      <c r="D11" s="6"/>
      <c r="E11" s="6"/>
      <c r="F11" s="6"/>
      <c r="G11" s="6"/>
      <c r="H11" s="6"/>
      <c r="I11" s="6"/>
      <c r="J11" s="6"/>
      <c r="K11" s="6"/>
    </row>
    <row r="12" spans="1:11" x14ac:dyDescent="0.25">
      <c r="A12" s="3"/>
      <c r="B12" s="4">
        <v>2</v>
      </c>
      <c r="C12" s="46" t="s">
        <v>61</v>
      </c>
      <c r="D12" s="6"/>
      <c r="E12" s="6"/>
      <c r="F12" s="6"/>
      <c r="G12" s="6"/>
      <c r="H12" s="6"/>
      <c r="I12" s="6"/>
      <c r="J12" s="6"/>
      <c r="K12" s="6"/>
    </row>
    <row r="13" spans="1:11" x14ac:dyDescent="0.25">
      <c r="A13" s="3"/>
      <c r="B13" s="4">
        <v>3</v>
      </c>
      <c r="C13" s="46" t="s">
        <v>62</v>
      </c>
      <c r="D13" s="6"/>
      <c r="E13" s="6"/>
      <c r="F13" s="6"/>
      <c r="G13" s="6"/>
      <c r="H13" s="6"/>
      <c r="I13" s="15"/>
      <c r="J13" s="6"/>
      <c r="K13" s="6"/>
    </row>
    <row r="14" spans="1:11" x14ac:dyDescent="0.25">
      <c r="A14" s="3"/>
      <c r="B14" s="4">
        <v>4</v>
      </c>
      <c r="C14" s="46" t="s">
        <v>63</v>
      </c>
      <c r="D14" s="6"/>
      <c r="E14" s="6"/>
      <c r="F14" s="6"/>
      <c r="G14" s="6"/>
      <c r="H14" s="6"/>
      <c r="I14" s="15"/>
      <c r="J14" s="6"/>
      <c r="K14" s="6"/>
    </row>
    <row r="15" spans="1:11" x14ac:dyDescent="0.25">
      <c r="A15" s="3"/>
      <c r="B15" s="4">
        <v>5</v>
      </c>
      <c r="C15" s="46" t="s">
        <v>64</v>
      </c>
      <c r="D15" s="6"/>
      <c r="E15" s="6"/>
      <c r="F15" s="6"/>
      <c r="G15" s="6"/>
      <c r="H15" s="6"/>
      <c r="I15" s="15"/>
      <c r="J15" s="6"/>
      <c r="K15" s="6"/>
    </row>
    <row r="16" spans="1:11" x14ac:dyDescent="0.25">
      <c r="A16" s="3"/>
      <c r="B16" s="4">
        <v>6</v>
      </c>
      <c r="C16" s="46" t="s">
        <v>65</v>
      </c>
      <c r="D16" s="6"/>
      <c r="E16" s="6"/>
      <c r="F16" s="6"/>
      <c r="G16" s="6"/>
      <c r="H16" s="6"/>
      <c r="I16" s="15"/>
      <c r="J16" s="6"/>
      <c r="K16" s="6"/>
    </row>
    <row r="17" spans="1:11" x14ac:dyDescent="0.25">
      <c r="A17" s="3"/>
      <c r="B17" s="4">
        <v>7</v>
      </c>
      <c r="C17" s="46" t="s">
        <v>66</v>
      </c>
      <c r="D17" s="6"/>
      <c r="E17" s="6"/>
      <c r="F17" s="6"/>
      <c r="G17" s="6"/>
      <c r="H17" s="6"/>
      <c r="I17" s="15"/>
      <c r="J17" s="15"/>
      <c r="K17" s="6"/>
    </row>
    <row r="18" spans="1:11" x14ac:dyDescent="0.25">
      <c r="A18" s="3"/>
      <c r="B18" s="4">
        <v>8</v>
      </c>
      <c r="C18" s="46" t="s">
        <v>67</v>
      </c>
      <c r="D18" s="6"/>
      <c r="E18" s="6"/>
      <c r="F18" s="6"/>
      <c r="G18" s="6"/>
      <c r="H18" s="6"/>
      <c r="I18" s="15"/>
      <c r="J18" s="6"/>
      <c r="K18" s="6"/>
    </row>
    <row r="19" spans="1:11" x14ac:dyDescent="0.25">
      <c r="A19" s="3"/>
      <c r="B19" s="4">
        <v>9</v>
      </c>
      <c r="C19" s="46" t="s">
        <v>68</v>
      </c>
      <c r="D19" s="6"/>
      <c r="E19" s="6"/>
      <c r="F19" s="6"/>
      <c r="G19" s="6"/>
      <c r="H19" s="6"/>
      <c r="I19" s="15"/>
      <c r="J19" s="6"/>
      <c r="K19" s="6"/>
    </row>
    <row r="20" spans="1:11" x14ac:dyDescent="0.25">
      <c r="A20" s="3"/>
      <c r="B20" s="4">
        <v>10</v>
      </c>
      <c r="C20" s="46" t="s">
        <v>69</v>
      </c>
      <c r="D20" s="6"/>
      <c r="E20" s="6"/>
      <c r="F20" s="6"/>
      <c r="G20" s="6"/>
      <c r="H20" s="6"/>
      <c r="I20" s="15"/>
      <c r="J20" s="6"/>
      <c r="K20" s="6"/>
    </row>
    <row r="21" spans="1:11" x14ac:dyDescent="0.25">
      <c r="A21" s="3"/>
      <c r="B21" s="4">
        <v>11</v>
      </c>
      <c r="C21" s="46" t="s">
        <v>70</v>
      </c>
      <c r="D21" s="6"/>
      <c r="E21" s="6"/>
      <c r="F21" s="6"/>
      <c r="G21" s="6"/>
      <c r="H21" s="6"/>
      <c r="I21" s="15"/>
      <c r="J21" s="6"/>
      <c r="K21" s="15"/>
    </row>
    <row r="22" spans="1:11" x14ac:dyDescent="0.25">
      <c r="A22" s="3"/>
      <c r="B22" s="4">
        <v>12</v>
      </c>
      <c r="C22" s="46" t="s">
        <v>71</v>
      </c>
      <c r="D22" s="6"/>
      <c r="E22" s="6"/>
      <c r="F22" s="6"/>
      <c r="G22" s="6"/>
      <c r="H22" s="6"/>
      <c r="I22" s="15"/>
      <c r="J22" s="6"/>
      <c r="K22" s="15"/>
    </row>
    <row r="23" spans="1:11" x14ac:dyDescent="0.25">
      <c r="A23" s="3"/>
      <c r="B23" s="4">
        <v>13</v>
      </c>
      <c r="C23" s="46" t="s">
        <v>72</v>
      </c>
      <c r="D23" s="6"/>
      <c r="E23" s="6"/>
      <c r="F23" s="6"/>
      <c r="G23" s="6"/>
      <c r="H23" s="6"/>
      <c r="I23" s="15"/>
      <c r="J23" s="6"/>
      <c r="K23" s="15"/>
    </row>
    <row r="24" spans="1:11" x14ac:dyDescent="0.25">
      <c r="A24" s="3"/>
      <c r="B24" s="4">
        <v>14</v>
      </c>
      <c r="C24" s="46" t="s">
        <v>73</v>
      </c>
      <c r="D24" s="6"/>
      <c r="E24" s="6"/>
      <c r="F24" s="6"/>
      <c r="G24" s="6"/>
      <c r="H24" s="6"/>
      <c r="I24" s="15"/>
      <c r="J24" s="15"/>
      <c r="K24" s="6"/>
    </row>
    <row r="25" spans="1:11" x14ac:dyDescent="0.25">
      <c r="A25" s="3"/>
      <c r="B25" s="4">
        <v>15</v>
      </c>
      <c r="C25" s="46" t="s">
        <v>74</v>
      </c>
      <c r="D25" s="6"/>
      <c r="E25" s="6"/>
      <c r="F25" s="6"/>
      <c r="G25" s="6"/>
      <c r="H25" s="6"/>
      <c r="I25" s="15"/>
      <c r="J25" s="6"/>
      <c r="K25" s="6"/>
    </row>
    <row r="26" spans="1:11" x14ac:dyDescent="0.25">
      <c r="A26" s="3"/>
      <c r="B26" s="4">
        <v>16</v>
      </c>
      <c r="C26" s="46" t="s">
        <v>75</v>
      </c>
      <c r="D26" s="6"/>
      <c r="E26" s="6"/>
      <c r="F26" s="6"/>
      <c r="G26" s="6"/>
      <c r="H26" s="6"/>
      <c r="I26" s="15"/>
      <c r="J26" s="6"/>
      <c r="K26" s="6"/>
    </row>
    <row r="27" spans="1:11" x14ac:dyDescent="0.25">
      <c r="A27" s="3"/>
      <c r="B27" s="4">
        <v>17</v>
      </c>
      <c r="C27" s="46" t="s">
        <v>76</v>
      </c>
      <c r="D27" s="6"/>
      <c r="E27" s="6"/>
      <c r="F27" s="6"/>
      <c r="G27" s="6"/>
      <c r="H27" s="6"/>
      <c r="I27" s="15"/>
      <c r="J27" s="6"/>
      <c r="K27" s="6"/>
    </row>
    <row r="28" spans="1:11" x14ac:dyDescent="0.25">
      <c r="A28" s="3"/>
      <c r="B28" s="4">
        <v>18</v>
      </c>
      <c r="C28" s="46" t="s">
        <v>77</v>
      </c>
      <c r="D28" s="6"/>
      <c r="E28" s="6"/>
      <c r="F28" s="6"/>
      <c r="G28" s="6"/>
      <c r="H28" s="6"/>
      <c r="I28" s="15"/>
      <c r="J28" s="6"/>
      <c r="K28" s="6"/>
    </row>
    <row r="29" spans="1:11" x14ac:dyDescent="0.25">
      <c r="A29" s="3"/>
      <c r="B29" s="4">
        <v>19</v>
      </c>
      <c r="C29" s="46" t="s">
        <v>78</v>
      </c>
      <c r="D29" s="6"/>
      <c r="E29" s="6"/>
      <c r="F29" s="6"/>
      <c r="G29" s="6"/>
      <c r="H29" s="6"/>
      <c r="I29" s="15"/>
      <c r="J29" s="6"/>
      <c r="K29" s="6"/>
    </row>
    <row r="30" spans="1:11" x14ac:dyDescent="0.25">
      <c r="A30" s="3"/>
      <c r="B30" s="4">
        <v>20</v>
      </c>
      <c r="C30" s="46" t="s">
        <v>79</v>
      </c>
      <c r="D30" s="6"/>
      <c r="E30" s="6"/>
      <c r="F30" s="6"/>
      <c r="G30" s="6"/>
      <c r="H30" s="6"/>
      <c r="I30" s="15"/>
      <c r="J30" s="6"/>
      <c r="K30" s="6"/>
    </row>
    <row r="31" spans="1:11" x14ac:dyDescent="0.25">
      <c r="A31" s="3"/>
      <c r="B31" s="4">
        <v>21</v>
      </c>
      <c r="C31" s="46" t="s">
        <v>80</v>
      </c>
      <c r="D31" s="6"/>
      <c r="E31" s="6"/>
      <c r="F31" s="6"/>
      <c r="G31" s="6"/>
      <c r="H31" s="6"/>
      <c r="I31" s="15"/>
      <c r="J31" s="6"/>
      <c r="K31" s="6"/>
    </row>
    <row r="32" spans="1:11" x14ac:dyDescent="0.25">
      <c r="A32" s="3"/>
      <c r="B32" s="4">
        <v>22</v>
      </c>
      <c r="C32" s="46" t="s">
        <v>81</v>
      </c>
      <c r="D32" s="6"/>
      <c r="E32" s="6"/>
      <c r="F32" s="6"/>
      <c r="G32" s="6"/>
      <c r="H32" s="6"/>
      <c r="I32" s="15"/>
      <c r="J32" s="6"/>
      <c r="K32" s="6"/>
    </row>
    <row r="33" spans="1:11" x14ac:dyDescent="0.25">
      <c r="A33" s="3"/>
      <c r="B33" s="4">
        <v>23</v>
      </c>
      <c r="C33" s="46" t="s">
        <v>82</v>
      </c>
      <c r="D33" s="6"/>
      <c r="E33" s="6"/>
      <c r="F33" s="6"/>
      <c r="G33" s="6"/>
      <c r="H33" s="6"/>
      <c r="I33" s="15"/>
      <c r="J33" s="6"/>
      <c r="K33" s="6"/>
    </row>
    <row r="34" spans="1:11" x14ac:dyDescent="0.25">
      <c r="A34" s="3"/>
      <c r="B34" s="4">
        <v>24</v>
      </c>
      <c r="C34" s="46" t="s">
        <v>83</v>
      </c>
      <c r="D34" s="6"/>
      <c r="E34" s="6"/>
      <c r="F34" s="6"/>
      <c r="G34" s="6"/>
      <c r="H34" s="6"/>
      <c r="I34" s="15"/>
      <c r="J34" s="6"/>
      <c r="K34" s="6"/>
    </row>
    <row r="35" spans="1:11" x14ac:dyDescent="0.25">
      <c r="A35" s="3"/>
      <c r="B35" s="4">
        <v>25</v>
      </c>
      <c r="C35" s="46" t="s">
        <v>84</v>
      </c>
      <c r="D35" s="6"/>
      <c r="E35" s="6"/>
      <c r="F35" s="6"/>
      <c r="G35" s="6"/>
      <c r="H35" s="6"/>
      <c r="I35" s="15"/>
      <c r="J35" s="6"/>
      <c r="K35" s="6"/>
    </row>
    <row r="36" spans="1:11" x14ac:dyDescent="0.25">
      <c r="A36" s="3"/>
      <c r="B36" s="4">
        <v>26</v>
      </c>
      <c r="C36" s="46" t="s">
        <v>85</v>
      </c>
      <c r="D36" s="6"/>
      <c r="E36" s="6"/>
      <c r="F36" s="6"/>
      <c r="G36" s="6"/>
      <c r="H36" s="6"/>
      <c r="I36" s="15"/>
      <c r="J36" s="6"/>
      <c r="K36" s="6"/>
    </row>
    <row r="37" spans="1:11" x14ac:dyDescent="0.25">
      <c r="A37" s="3"/>
      <c r="B37" s="4">
        <v>27</v>
      </c>
      <c r="C37" s="46" t="s">
        <v>86</v>
      </c>
      <c r="D37" s="6"/>
      <c r="E37" s="6"/>
      <c r="F37" s="6"/>
      <c r="G37" s="6"/>
      <c r="H37" s="6"/>
      <c r="I37" s="15"/>
      <c r="J37" s="6"/>
      <c r="K37" s="6"/>
    </row>
    <row r="38" spans="1:11" x14ac:dyDescent="0.25">
      <c r="A38" s="3"/>
      <c r="B38" s="4">
        <v>28</v>
      </c>
      <c r="C38" s="46" t="s">
        <v>87</v>
      </c>
      <c r="D38" s="6"/>
      <c r="E38" s="6"/>
      <c r="F38" s="6"/>
      <c r="G38" s="6"/>
      <c r="H38" s="6"/>
      <c r="I38" s="15"/>
      <c r="J38" s="6"/>
      <c r="K38" s="6"/>
    </row>
    <row r="39" spans="1:11" x14ac:dyDescent="0.25">
      <c r="A39" s="3"/>
      <c r="B39" s="4">
        <v>29</v>
      </c>
      <c r="C39" s="46" t="s">
        <v>88</v>
      </c>
      <c r="D39" s="6"/>
      <c r="E39" s="6"/>
      <c r="F39" s="6"/>
      <c r="G39" s="6"/>
      <c r="H39" s="6"/>
      <c r="I39" s="15"/>
      <c r="J39" s="6"/>
      <c r="K39" s="6"/>
    </row>
    <row r="40" spans="1:11" x14ac:dyDescent="0.25">
      <c r="A40" s="3"/>
      <c r="B40" s="4">
        <v>30</v>
      </c>
      <c r="C40" s="46" t="s">
        <v>89</v>
      </c>
      <c r="D40" s="6"/>
      <c r="E40" s="6"/>
      <c r="F40" s="6"/>
      <c r="G40" s="6"/>
      <c r="H40" s="6"/>
      <c r="I40" s="15"/>
      <c r="J40" s="6"/>
      <c r="K40" s="6"/>
    </row>
    <row r="41" spans="1:1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</sheetData>
  <dataValidations count="1">
    <dataValidation type="list" allowBlank="1" showInputMessage="1" showErrorMessage="1" sqref="B7" xr:uid="{8775C41D-DC07-433B-8A0B-3C73C2CFB077}">
      <formula1>"d,w,m,v"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A9DF7-0D4B-49DE-B43B-0717CE92B793}">
  <dimension ref="A1:AF66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H2" sqref="H2"/>
    </sheetView>
  </sheetViews>
  <sheetFormatPr defaultColWidth="9" defaultRowHeight="15.75" x14ac:dyDescent="0.25"/>
  <cols>
    <col min="1" max="1" width="4.5625" style="1" bestFit="1" customWidth="1"/>
    <col min="2" max="3" width="4.3125" style="1" bestFit="1" customWidth="1"/>
    <col min="4" max="4" width="5.0625" style="1" bestFit="1" customWidth="1"/>
    <col min="5" max="5" width="4.3125" style="1" bestFit="1" customWidth="1"/>
    <col min="6" max="6" width="3.8125" style="1" bestFit="1" customWidth="1"/>
    <col min="7" max="7" width="4.3125" style="1" bestFit="1" customWidth="1"/>
    <col min="8" max="9" width="3.8125" style="1" bestFit="1" customWidth="1"/>
    <col min="10" max="10" width="4.3125" style="1" bestFit="1" customWidth="1"/>
    <col min="11" max="11" width="3.8125" style="1" bestFit="1" customWidth="1"/>
    <col min="12" max="12" width="4.3125" style="1" bestFit="1" customWidth="1"/>
    <col min="13" max="13" width="3.8125" style="1" bestFit="1" customWidth="1"/>
    <col min="14" max="20" width="4.3125" style="1" bestFit="1" customWidth="1"/>
    <col min="21" max="21" width="3.8125" style="1" bestFit="1" customWidth="1"/>
    <col min="22" max="22" width="5.125" style="1" customWidth="1"/>
    <col min="23" max="25" width="4.3125" style="1" bestFit="1" customWidth="1"/>
    <col min="26" max="26" width="5.0625" style="1" customWidth="1"/>
    <col min="27" max="27" width="3.8125" style="1" bestFit="1" customWidth="1"/>
    <col min="28" max="29" width="4.3125" style="1" bestFit="1" customWidth="1"/>
    <col min="30" max="31" width="3.8125" style="1" bestFit="1" customWidth="1"/>
    <col min="32" max="32" width="4.4375" style="1" customWidth="1"/>
    <col min="33" max="16384" width="9" style="1"/>
  </cols>
  <sheetData>
    <row r="1" spans="1:32" s="19" customFormat="1" x14ac:dyDescent="0.25">
      <c r="A1" s="19" t="s">
        <v>11</v>
      </c>
      <c r="B1" s="18" t="str">
        <f>Inputs!C11</f>
        <v>tsla</v>
      </c>
      <c r="C1" s="19" t="str">
        <f>Inputs!C12</f>
        <v>rcl</v>
      </c>
      <c r="D1" s="19" t="str">
        <f>Inputs!C13</f>
        <v>nvda</v>
      </c>
      <c r="E1" s="19" t="str">
        <f>Inputs!C14</f>
        <v>ual</v>
      </c>
      <c r="F1" s="19" t="str">
        <f>Inputs!C15</f>
        <v>meta</v>
      </c>
      <c r="G1" s="19" t="str">
        <f>Inputs!C16</f>
        <v>f</v>
      </c>
      <c r="H1" s="19" t="str">
        <f>Inputs!C17</f>
        <v>hog</v>
      </c>
      <c r="I1" s="19" t="str">
        <f>Inputs!C18</f>
        <v>pzza</v>
      </c>
      <c r="J1" s="19" t="str">
        <f>Inputs!C19</f>
        <v>ba</v>
      </c>
      <c r="K1" s="19" t="str">
        <f>Inputs!C20</f>
        <v>cmg</v>
      </c>
      <c r="L1" s="19" t="str">
        <f>Inputs!C21</f>
        <v>cat</v>
      </c>
      <c r="M1" s="19" t="str">
        <f>Inputs!C22</f>
        <v>lly</v>
      </c>
      <c r="N1" s="19" t="str">
        <f>Inputs!C23</f>
        <v>googl</v>
      </c>
      <c r="O1" s="19" t="str">
        <f>Inputs!C24</f>
        <v>mmm</v>
      </c>
      <c r="P1" s="19" t="str">
        <f>Inputs!C25</f>
        <v>xom</v>
      </c>
      <c r="Q1" s="19" t="str">
        <f>Inputs!C26</f>
        <v>grmn</v>
      </c>
      <c r="R1" s="19" t="str">
        <f>Inputs!C27</f>
        <v>ibm</v>
      </c>
      <c r="S1" s="19" t="str">
        <f>Inputs!C28</f>
        <v>aapl</v>
      </c>
      <c r="T1" s="19" t="str">
        <f>Inputs!C29</f>
        <v>hd</v>
      </c>
      <c r="U1" s="19" t="str">
        <f>Inputs!C30</f>
        <v>jpm</v>
      </c>
      <c r="V1" s="19" t="str">
        <f>Inputs!C31</f>
        <v>pru</v>
      </c>
      <c r="W1" s="19" t="str">
        <f>Inputs!C32</f>
        <v>t</v>
      </c>
      <c r="X1" s="19" t="str">
        <f>Inputs!C33</f>
        <v>kr</v>
      </c>
      <c r="Y1" s="19" t="str">
        <f>Inputs!C34</f>
        <v>pfe</v>
      </c>
      <c r="Z1" s="19" t="str">
        <f>Inputs!C35</f>
        <v>ma</v>
      </c>
      <c r="AA1" s="19" t="str">
        <f>Inputs!C36</f>
        <v>msft</v>
      </c>
      <c r="AB1" s="19" t="str">
        <f>Inputs!C37</f>
        <v>yum</v>
      </c>
      <c r="AC1" s="19" t="str">
        <f>Inputs!C38</f>
        <v>wmt</v>
      </c>
      <c r="AD1" s="19" t="str">
        <f>Inputs!C39</f>
        <v>ko</v>
      </c>
      <c r="AE1" s="19" t="str">
        <f>Inputs!C40</f>
        <v>mcd</v>
      </c>
      <c r="AF1" s="19" t="s">
        <v>44</v>
      </c>
    </row>
    <row r="2" spans="1:32" s="21" customFormat="1" x14ac:dyDescent="0.25">
      <c r="A2" s="20">
        <f ca="1">D65</f>
        <v>44136</v>
      </c>
      <c r="B2" s="1" cm="1" vm="1">
        <f t="array" aca="1" ref="B2:B62" ca="1">_xlfn.STOCKHISTORY(B1,$D$65,$D$66,2,0,1)</f>
        <v>189.19810000000001</v>
      </c>
      <c r="C2" s="1" cm="1" vm="2">
        <f t="array" aca="1" ref="C2:C62" ca="1">_xlfn.STOCKHISTORY(C1,$D$65,$D$66,2,0,1)</f>
        <v>78.81</v>
      </c>
      <c r="D2" s="1" cm="1" vm="3">
        <f t="array" aca="1" ref="D2:D62" ca="1">_xlfn.STOCKHISTORY(D1,$D$65,$D$66,2,0,1)</f>
        <v>13.4015</v>
      </c>
      <c r="E2" s="1" cm="1" vm="4">
        <f t="array" aca="1" ref="E2:E62" ca="1">_xlfn.STOCKHISTORY(E1,$D$65,$D$66,2,0,1)</f>
        <v>45.05</v>
      </c>
      <c r="F2" s="1" cm="1" vm="5">
        <f t="array" aca="1" ref="F2:F62" ca="1">_xlfn.STOCKHISTORY(F1,$D$65,$D$66,2,0,1)</f>
        <v>276.97000000000003</v>
      </c>
      <c r="G2" s="1" cm="1" vm="6">
        <f t="array" aca="1" ref="G2:G62" ca="1">_xlfn.STOCKHISTORY(G1,$D$65,$D$66,2,0,1)</f>
        <v>8.9364000000000008</v>
      </c>
      <c r="H2" s="1" cm="1" vm="7">
        <f t="array" aca="1" ref="H2:H62" ca="1">_xlfn.STOCKHISTORY(H1,$D$65,$D$66,2,0,1)</f>
        <v>40.29</v>
      </c>
      <c r="I2" s="1" cm="1" vm="8">
        <f t="array" aca="1" ref="I2:I62" ca="1">_xlfn.STOCKHISTORY(I1,$D$65,$D$66,2,0,1)</f>
        <v>80.36</v>
      </c>
      <c r="J2" s="1" cm="1" vm="9">
        <f t="array" aca="1" ref="J2:J62" ca="1">_xlfn.STOCKHISTORY(J1,$D$65,$D$66,2,0,1)</f>
        <v>210.71</v>
      </c>
      <c r="K2" s="1" cm="1" vm="10">
        <f t="array" aca="1" ref="K2:K62" ca="1">_xlfn.STOCKHISTORY(K1,$D$65,$D$66,2,0,1)</f>
        <v>25.788599999999999</v>
      </c>
      <c r="L2" s="1" cm="1" vm="11">
        <f t="array" aca="1" ref="L2:L62" ca="1">_xlfn.STOCKHISTORY(L1,$D$65,$D$66,2,0,1)</f>
        <v>173.59</v>
      </c>
      <c r="M2" s="1" cm="1" vm="12">
        <f t="array" aca="1" ref="M2:M62" ca="1">_xlfn.STOCKHISTORY(M1,$D$65,$D$66,2,0,1)</f>
        <v>145.65</v>
      </c>
      <c r="N2" s="1" cm="1" vm="13">
        <f t="array" aca="1" ref="N2:N62" ca="1">_xlfn.STOCKHISTORY(N1,$D$65,$D$66,2,0,1)</f>
        <v>87.72</v>
      </c>
      <c r="O2" s="1" cm="1" vm="14">
        <f t="array" aca="1" ref="O2:O62" ca="1">_xlfn.STOCKHISTORY(O1,$D$65,$D$66,2,0,1)</f>
        <v>144.4161</v>
      </c>
      <c r="P2" s="1" cm="1" vm="15">
        <f t="array" aca="1" ref="P2:P62" ca="1">_xlfn.STOCKHISTORY(P1,$D$65,$D$66,2,0,1)</f>
        <v>38.130000000000003</v>
      </c>
      <c r="Q2" s="1" cm="1" vm="16">
        <f t="array" aca="1" ref="Q2:Q62" ca="1">_xlfn.STOCKHISTORY(Q1,$D$65,$D$66,2,0,1)</f>
        <v>116.76</v>
      </c>
      <c r="R2" s="1" cm="1" vm="17">
        <f t="array" aca="1" ref="R2:R62" ca="1">_xlfn.STOCKHISTORY(R1,$D$65,$D$66,2,0,1)</f>
        <v>123.52</v>
      </c>
      <c r="S2" s="1" cm="1" vm="18">
        <f t="array" aca="1" ref="S2:S62" ca="1">_xlfn.STOCKHISTORY(S1,$D$65,$D$66,2,0,1)</f>
        <v>119.05</v>
      </c>
      <c r="T2" s="1" cm="1" vm="19">
        <f t="array" aca="1" ref="T2:T62" ca="1">_xlfn.STOCKHISTORY(T1,$D$65,$D$66,2,0,1)</f>
        <v>277.41000000000003</v>
      </c>
      <c r="U2" s="1" cm="1" vm="20">
        <f t="array" aca="1" ref="U2:U62" ca="1">_xlfn.STOCKHISTORY(U1,$D$65,$D$66,2,0,1)</f>
        <v>117.88</v>
      </c>
      <c r="V2" s="1" cm="1" vm="21">
        <f t="array" aca="1" ref="V2:V62" ca="1">_xlfn.STOCKHISTORY(V1,$D$65,$D$66,2,0,1)</f>
        <v>75.62</v>
      </c>
      <c r="W2" s="1" cm="1" vm="22">
        <f t="array" aca="1" ref="W2:W62" ca="1">_xlfn.STOCKHISTORY(W1,$D$65,$D$66,2,0,1)</f>
        <v>21.711400000000001</v>
      </c>
      <c r="X2" s="1" cm="1" vm="23">
        <f t="array" aca="1" ref="X2:X62" ca="1">_xlfn.STOCKHISTORY(X1,$D$65,$D$66,2,0,1)</f>
        <v>33</v>
      </c>
      <c r="Y2" s="1" cm="1" vm="24">
        <f t="array" aca="1" ref="Y2:Y62" ca="1">_xlfn.STOCKHISTORY(Y1,$D$65,$D$66,2,0,1)</f>
        <v>38.31</v>
      </c>
      <c r="Z2" s="1" cm="1" vm="25">
        <f t="array" aca="1" ref="Z2:Z62" ca="1">_xlfn.STOCKHISTORY(Z1,$D$65,$D$66,2,0,1)</f>
        <v>336.51</v>
      </c>
      <c r="AA2" s="1" cm="1" vm="26">
        <f t="array" aca="1" ref="AA2:AA62" ca="1">_xlfn.STOCKHISTORY(AA1,$D$65,$D$66,2,0,1)</f>
        <v>214.07</v>
      </c>
      <c r="AB2" s="1" cm="1" vm="27">
        <f t="array" aca="1" ref="AB2:AB62" ca="1">_xlfn.STOCKHISTORY(AB1,$D$65,$D$66,2,0,1)</f>
        <v>105.8</v>
      </c>
      <c r="AC2" s="1" cm="1" vm="28">
        <f t="array" aca="1" ref="AC2:AC62" ca="1">_xlfn.STOCKHISTORY(AC1,$D$65,$D$66,2,0,1)</f>
        <v>50.929499999999997</v>
      </c>
      <c r="AD2" s="1" cm="1" vm="29">
        <f t="array" aca="1" ref="AD2:AD62" ca="1">_xlfn.STOCKHISTORY(AD1,$D$65,$D$66,2,0,1)</f>
        <v>51.6</v>
      </c>
      <c r="AE2" s="1" cm="1" vm="30">
        <f t="array" aca="1" ref="AE2:AE62" ca="1">_xlfn.STOCKHISTORY(AE1,$D$65,$D$66,2,0,1)</f>
        <v>217.44</v>
      </c>
      <c r="AF2" s="1" cm="1" vm="31">
        <f t="array" aca="1" ref="AF2:AF62" ca="1">_xlfn.STOCKHISTORY(AF1,$D$65,$D$66,2,0,1)</f>
        <v>363.32</v>
      </c>
    </row>
    <row r="3" spans="1:32" x14ac:dyDescent="0.25">
      <c r="A3" s="20">
        <f ca="1">EDATE(A2,1)</f>
        <v>44166</v>
      </c>
      <c r="B3" s="1" vm="32">
        <f ca="1"/>
        <v>235.221</v>
      </c>
      <c r="C3" s="1" vm="33">
        <f ca="1"/>
        <v>74.69</v>
      </c>
      <c r="D3" s="1" vm="34">
        <f ca="1"/>
        <v>13.055</v>
      </c>
      <c r="E3" s="1" vm="35">
        <f ca="1"/>
        <v>43.25</v>
      </c>
      <c r="F3" s="1" vm="36">
        <f ca="1"/>
        <v>273.16000000000003</v>
      </c>
      <c r="G3" s="1" vm="37">
        <f ca="1"/>
        <v>8.6509</v>
      </c>
      <c r="H3" s="1" vm="38">
        <f ca="1"/>
        <v>36.700000000000003</v>
      </c>
      <c r="I3" s="1" vm="39">
        <f ca="1"/>
        <v>84.85</v>
      </c>
      <c r="J3" s="1" vm="40">
        <f ca="1"/>
        <v>214.06</v>
      </c>
      <c r="K3" s="1" vm="41">
        <f ca="1"/>
        <v>27.734200000000001</v>
      </c>
      <c r="L3" s="1" vm="42">
        <f ca="1"/>
        <v>182.02</v>
      </c>
      <c r="M3" s="1" vm="43">
        <f ca="1"/>
        <v>168.84</v>
      </c>
      <c r="N3" s="1" vm="44">
        <f ca="1"/>
        <v>87.632000000000005</v>
      </c>
      <c r="O3" s="1" vm="45">
        <f ca="1"/>
        <v>146.13839999999999</v>
      </c>
      <c r="P3" s="1" vm="46">
        <f ca="1"/>
        <v>41.22</v>
      </c>
      <c r="Q3" s="1" vm="47">
        <f ca="1"/>
        <v>119.66</v>
      </c>
      <c r="R3" s="1" vm="48">
        <f ca="1"/>
        <v>125.88</v>
      </c>
      <c r="S3" s="1" vm="49">
        <f ca="1"/>
        <v>132.69</v>
      </c>
      <c r="T3" s="1" vm="50">
        <f ca="1"/>
        <v>265.62</v>
      </c>
      <c r="U3" s="1" vm="51">
        <f ca="1"/>
        <v>127.07</v>
      </c>
      <c r="V3" s="1" vm="52">
        <f ca="1"/>
        <v>78.069999999999993</v>
      </c>
      <c r="W3" s="1" vm="53">
        <f ca="1"/>
        <v>21.719000000000001</v>
      </c>
      <c r="X3" s="1" vm="54">
        <f ca="1"/>
        <v>31.76</v>
      </c>
      <c r="Y3" s="1" vm="55">
        <f ca="1"/>
        <v>36.81</v>
      </c>
      <c r="Z3" s="1" vm="56">
        <f ca="1"/>
        <v>356.94</v>
      </c>
      <c r="AA3" s="1" vm="57">
        <f ca="1"/>
        <v>222.42</v>
      </c>
      <c r="AB3" s="1" vm="58">
        <f ca="1"/>
        <v>108.56</v>
      </c>
      <c r="AC3" s="1" vm="59">
        <f ca="1"/>
        <v>48.049500000000002</v>
      </c>
      <c r="AD3" s="1" vm="60">
        <f ca="1"/>
        <v>54.84</v>
      </c>
      <c r="AE3" s="1" vm="61">
        <f ca="1"/>
        <v>214.58</v>
      </c>
      <c r="AF3" s="1" vm="62">
        <f ca="1"/>
        <v>375.39</v>
      </c>
    </row>
    <row r="4" spans="1:32" x14ac:dyDescent="0.25">
      <c r="A4" s="20">
        <f t="shared" ref="A4:A62" ca="1" si="0">EDATE(A3,1)</f>
        <v>44197</v>
      </c>
      <c r="B4" s="1" vm="63">
        <f ca="1"/>
        <v>264.50740000000002</v>
      </c>
      <c r="C4" s="1" vm="64">
        <f ca="1"/>
        <v>65</v>
      </c>
      <c r="D4" s="1" vm="65">
        <f ca="1"/>
        <v>12.989800000000001</v>
      </c>
      <c r="E4" s="1" vm="66">
        <f ca="1"/>
        <v>39.99</v>
      </c>
      <c r="F4" s="1" vm="67">
        <f ca="1"/>
        <v>258.33</v>
      </c>
      <c r="G4" s="1" vm="68">
        <f ca="1"/>
        <v>10.3634</v>
      </c>
      <c r="H4" s="1" vm="69">
        <f ca="1"/>
        <v>40.090000000000003</v>
      </c>
      <c r="I4" s="1" vm="70">
        <f ca="1"/>
        <v>102.28</v>
      </c>
      <c r="J4" s="1" vm="71">
        <f ca="1"/>
        <v>194.19</v>
      </c>
      <c r="K4" s="1" vm="72">
        <f ca="1"/>
        <v>29.6</v>
      </c>
      <c r="L4" s="1" vm="73">
        <f ca="1"/>
        <v>182.84</v>
      </c>
      <c r="M4" s="1" vm="74">
        <f ca="1"/>
        <v>207.97</v>
      </c>
      <c r="N4" s="1" vm="75">
        <f ca="1"/>
        <v>91.367999999999995</v>
      </c>
      <c r="O4" s="1" vm="76">
        <f ca="1"/>
        <v>146.86580000000001</v>
      </c>
      <c r="P4" s="1" vm="77">
        <f ca="1"/>
        <v>44.84</v>
      </c>
      <c r="Q4" s="1" vm="78">
        <f ca="1"/>
        <v>114.86</v>
      </c>
      <c r="R4" s="1" vm="79">
        <f ca="1"/>
        <v>119.11</v>
      </c>
      <c r="S4" s="1" vm="80">
        <f ca="1"/>
        <v>131.96</v>
      </c>
      <c r="T4" s="1" vm="81">
        <f ca="1"/>
        <v>270.82</v>
      </c>
      <c r="U4" s="1" vm="82">
        <f ca="1"/>
        <v>128.66999999999999</v>
      </c>
      <c r="V4" s="1" vm="83">
        <f ca="1"/>
        <v>78.28</v>
      </c>
      <c r="W4" s="1" vm="84">
        <f ca="1"/>
        <v>21.620799999999999</v>
      </c>
      <c r="X4" s="1" vm="85">
        <f ca="1"/>
        <v>34.5</v>
      </c>
      <c r="Y4" s="1" vm="86">
        <f ca="1"/>
        <v>35.9</v>
      </c>
      <c r="Z4" s="1" vm="87">
        <f ca="1"/>
        <v>316.29000000000002</v>
      </c>
      <c r="AA4" s="1" vm="88">
        <f ca="1"/>
        <v>231.96</v>
      </c>
      <c r="AB4" s="1" vm="89">
        <f ca="1"/>
        <v>101.49</v>
      </c>
      <c r="AC4" s="1" vm="90">
        <f ca="1"/>
        <v>46.829500000000003</v>
      </c>
      <c r="AD4" s="1" vm="91">
        <f ca="1"/>
        <v>48.15</v>
      </c>
      <c r="AE4" s="1" vm="92">
        <f ca="1"/>
        <v>207.84</v>
      </c>
      <c r="AF4" s="1" vm="93">
        <f ca="1"/>
        <v>371.52</v>
      </c>
    </row>
    <row r="5" spans="1:32" x14ac:dyDescent="0.25">
      <c r="A5" s="20">
        <f t="shared" ca="1" si="0"/>
        <v>44228</v>
      </c>
      <c r="B5" s="1" vm="94">
        <f ca="1"/>
        <v>225.1644</v>
      </c>
      <c r="C5" s="1" vm="95">
        <f ca="1"/>
        <v>93.27</v>
      </c>
      <c r="D5" s="1" vm="96">
        <f ca="1"/>
        <v>13.714499999999999</v>
      </c>
      <c r="E5" s="1" vm="97">
        <f ca="1"/>
        <v>52.68</v>
      </c>
      <c r="F5" s="1" vm="98">
        <f ca="1"/>
        <v>257.62</v>
      </c>
      <c r="G5" s="1" vm="99">
        <f ca="1"/>
        <v>11.514900000000001</v>
      </c>
      <c r="H5" s="1" vm="100">
        <f ca="1"/>
        <v>35.67</v>
      </c>
      <c r="I5" s="1" vm="101">
        <f ca="1"/>
        <v>90.19</v>
      </c>
      <c r="J5" s="1" vm="102">
        <f ca="1"/>
        <v>212.01</v>
      </c>
      <c r="K5" s="1" vm="103">
        <f ca="1"/>
        <v>28.84</v>
      </c>
      <c r="L5" s="1" vm="104">
        <f ca="1"/>
        <v>215.88</v>
      </c>
      <c r="M5" s="1" vm="105">
        <f ca="1"/>
        <v>204.89</v>
      </c>
      <c r="N5" s="1" vm="106">
        <f ca="1"/>
        <v>101.0955</v>
      </c>
      <c r="O5" s="1" vm="107">
        <f ca="1"/>
        <v>146.36420000000001</v>
      </c>
      <c r="P5" s="1" vm="108">
        <f ca="1"/>
        <v>54.37</v>
      </c>
      <c r="Q5" s="1" vm="109">
        <f ca="1"/>
        <v>124.02</v>
      </c>
      <c r="R5" s="1" vm="110">
        <f ca="1"/>
        <v>118.93</v>
      </c>
      <c r="S5" s="1" vm="111">
        <f ca="1"/>
        <v>121.26</v>
      </c>
      <c r="T5" s="1" vm="112">
        <f ca="1"/>
        <v>258.33999999999997</v>
      </c>
      <c r="U5" s="1" vm="113">
        <f ca="1"/>
        <v>147.16999999999999</v>
      </c>
      <c r="V5" s="1" vm="114">
        <f ca="1"/>
        <v>86.72</v>
      </c>
      <c r="W5" s="1" vm="115">
        <f ca="1"/>
        <v>21.062000000000001</v>
      </c>
      <c r="X5" s="1" vm="116">
        <f ca="1"/>
        <v>32.21</v>
      </c>
      <c r="Y5" s="1" vm="117">
        <f ca="1"/>
        <v>33.49</v>
      </c>
      <c r="Z5" s="1" vm="118">
        <f ca="1"/>
        <v>353.85</v>
      </c>
      <c r="AA5" s="1" vm="119">
        <f ca="1"/>
        <v>232.38</v>
      </c>
      <c r="AB5" s="1" vm="120">
        <f ca="1"/>
        <v>103.53</v>
      </c>
      <c r="AC5" s="1" vm="121">
        <f ca="1"/>
        <v>43.306199999999997</v>
      </c>
      <c r="AD5" s="1" vm="122">
        <f ca="1"/>
        <v>48.99</v>
      </c>
      <c r="AE5" s="1" vm="123">
        <f ca="1"/>
        <v>206.14</v>
      </c>
      <c r="AF5" s="1" vm="124">
        <f ca="1"/>
        <v>381.77</v>
      </c>
    </row>
    <row r="6" spans="1:32" x14ac:dyDescent="0.25">
      <c r="A6" s="20">
        <f ca="1">EDATE(A5,1)</f>
        <v>44256</v>
      </c>
      <c r="B6" s="1" vm="125">
        <f ca="1"/>
        <v>222.64109999999999</v>
      </c>
      <c r="C6" s="1" vm="126">
        <f ca="1"/>
        <v>85.61</v>
      </c>
      <c r="D6" s="1" vm="127">
        <f ca="1"/>
        <v>13.3483</v>
      </c>
      <c r="E6" s="1" vm="128">
        <f ca="1"/>
        <v>57.54</v>
      </c>
      <c r="F6" s="1" vm="129">
        <f ca="1"/>
        <v>294.52999999999997</v>
      </c>
      <c r="G6" s="1" vm="130">
        <f ca="1"/>
        <v>12.0562</v>
      </c>
      <c r="H6" s="1" vm="131">
        <f ca="1"/>
        <v>40.1</v>
      </c>
      <c r="I6" s="1" vm="132">
        <f ca="1"/>
        <v>88.64</v>
      </c>
      <c r="J6" s="1" vm="133">
        <f ca="1"/>
        <v>254.72</v>
      </c>
      <c r="K6" s="1" vm="134">
        <f ca="1"/>
        <v>28.416399999999999</v>
      </c>
      <c r="L6" s="1" vm="135">
        <f ca="1"/>
        <v>231.87</v>
      </c>
      <c r="M6" s="1" vm="136">
        <f ca="1"/>
        <v>186.82</v>
      </c>
      <c r="N6" s="1" vm="137">
        <f ca="1"/>
        <v>103.126</v>
      </c>
      <c r="O6" s="1" vm="138">
        <f ca="1"/>
        <v>161.0959</v>
      </c>
      <c r="P6" s="1" vm="139">
        <f ca="1"/>
        <v>55.83</v>
      </c>
      <c r="Q6" s="1" vm="140">
        <f ca="1"/>
        <v>131.85</v>
      </c>
      <c r="R6" s="1" vm="141">
        <f ca="1"/>
        <v>133.26</v>
      </c>
      <c r="S6" s="1" vm="142">
        <f ca="1"/>
        <v>122.15</v>
      </c>
      <c r="T6" s="1" vm="143">
        <f ca="1"/>
        <v>305.25</v>
      </c>
      <c r="U6" s="1" vm="144">
        <f ca="1"/>
        <v>152.22999999999999</v>
      </c>
      <c r="V6" s="1" vm="145">
        <f ca="1"/>
        <v>91.1</v>
      </c>
      <c r="W6" s="1" vm="146">
        <f ca="1"/>
        <v>22.859300000000001</v>
      </c>
      <c r="X6" s="1" vm="147">
        <f ca="1"/>
        <v>35.99</v>
      </c>
      <c r="Y6" s="1" vm="148">
        <f ca="1"/>
        <v>36.229999999999997</v>
      </c>
      <c r="Z6" s="1" vm="149">
        <f ca="1"/>
        <v>356.05</v>
      </c>
      <c r="AA6" s="1" vm="150">
        <f ca="1"/>
        <v>235.77</v>
      </c>
      <c r="AB6" s="1" vm="151">
        <f ca="1"/>
        <v>108.18</v>
      </c>
      <c r="AC6" s="1" vm="152">
        <f ca="1"/>
        <v>45.276200000000003</v>
      </c>
      <c r="AD6" s="1" vm="153">
        <f ca="1"/>
        <v>52.71</v>
      </c>
      <c r="AE6" s="1" vm="154">
        <f ca="1"/>
        <v>224.14</v>
      </c>
      <c r="AF6" s="1" vm="155">
        <f ca="1"/>
        <v>397.82</v>
      </c>
    </row>
    <row r="7" spans="1:32" x14ac:dyDescent="0.25">
      <c r="A7" s="20">
        <f t="shared" ca="1" si="0"/>
        <v>44287</v>
      </c>
      <c r="B7" s="1" vm="156">
        <f ca="1"/>
        <v>236.4776</v>
      </c>
      <c r="C7" s="1" vm="157">
        <f ca="1"/>
        <v>86.95</v>
      </c>
      <c r="D7" s="1" vm="158">
        <f ca="1"/>
        <v>15.009499999999999</v>
      </c>
      <c r="E7" s="1" vm="159">
        <f ca="1"/>
        <v>54.4</v>
      </c>
      <c r="F7" s="1" vm="160">
        <f ca="1"/>
        <v>325.08</v>
      </c>
      <c r="G7" s="1" vm="161">
        <f ca="1"/>
        <v>11.3574</v>
      </c>
      <c r="H7" s="1" vm="162">
        <f ca="1"/>
        <v>48.37</v>
      </c>
      <c r="I7" s="1" vm="163">
        <f ca="1"/>
        <v>96.72</v>
      </c>
      <c r="J7" s="1" vm="164">
        <f ca="1"/>
        <v>234.31</v>
      </c>
      <c r="K7" s="1" vm="165">
        <f ca="1"/>
        <v>29.840599999999998</v>
      </c>
      <c r="L7" s="1" vm="166">
        <f ca="1"/>
        <v>228.11</v>
      </c>
      <c r="M7" s="1" vm="167">
        <f ca="1"/>
        <v>182.77</v>
      </c>
      <c r="N7" s="1" vm="168">
        <f ca="1"/>
        <v>117.675</v>
      </c>
      <c r="O7" s="1" vm="169">
        <f ca="1"/>
        <v>164.82480000000001</v>
      </c>
      <c r="P7" s="1" vm="170">
        <f ca="1"/>
        <v>57.24</v>
      </c>
      <c r="Q7" s="1" vm="171">
        <f ca="1"/>
        <v>137.24</v>
      </c>
      <c r="R7" s="1" vm="172">
        <f ca="1"/>
        <v>141.88</v>
      </c>
      <c r="S7" s="1" vm="173">
        <f ca="1"/>
        <v>131.46</v>
      </c>
      <c r="T7" s="1" vm="174">
        <f ca="1"/>
        <v>323.67</v>
      </c>
      <c r="U7" s="1" vm="175">
        <f ca="1"/>
        <v>153.81</v>
      </c>
      <c r="V7" s="1" vm="176">
        <f ca="1"/>
        <v>100.36</v>
      </c>
      <c r="W7" s="1" vm="177">
        <f ca="1"/>
        <v>23.720199999999998</v>
      </c>
      <c r="X7" s="1" vm="178">
        <f ca="1"/>
        <v>36.54</v>
      </c>
      <c r="Y7" s="1" vm="179">
        <f ca="1"/>
        <v>38.65</v>
      </c>
      <c r="Z7" s="1" vm="180">
        <f ca="1"/>
        <v>382.06</v>
      </c>
      <c r="AA7" s="1" vm="181">
        <f ca="1"/>
        <v>252.18</v>
      </c>
      <c r="AB7" s="1" vm="182">
        <f ca="1"/>
        <v>119.52</v>
      </c>
      <c r="AC7" s="1" vm="183">
        <f ca="1"/>
        <v>46.636200000000002</v>
      </c>
      <c r="AD7" s="1" vm="184">
        <f ca="1"/>
        <v>53.98</v>
      </c>
      <c r="AE7" s="1" vm="185">
        <f ca="1"/>
        <v>236.08</v>
      </c>
      <c r="AF7" s="1" vm="186">
        <f ca="1"/>
        <v>418.88</v>
      </c>
    </row>
    <row r="8" spans="1:32" x14ac:dyDescent="0.25">
      <c r="A8" s="20">
        <f t="shared" ca="1" si="0"/>
        <v>44317</v>
      </c>
      <c r="B8" s="1" vm="187">
        <f ca="1"/>
        <v>208.40459999999999</v>
      </c>
      <c r="C8" s="1" vm="95">
        <f ca="1"/>
        <v>93.27</v>
      </c>
      <c r="D8" s="1" vm="188">
        <f ca="1"/>
        <v>16.244499999999999</v>
      </c>
      <c r="E8" s="1" vm="189">
        <f ca="1"/>
        <v>58.35</v>
      </c>
      <c r="F8" s="1" vm="190">
        <f ca="1"/>
        <v>328.73</v>
      </c>
      <c r="G8" s="1" vm="191">
        <f ca="1"/>
        <v>14.3001</v>
      </c>
      <c r="H8" s="1" vm="192">
        <f ca="1"/>
        <v>48.47</v>
      </c>
      <c r="I8" s="1" vm="193">
        <f ca="1"/>
        <v>93.95</v>
      </c>
      <c r="J8" s="1" vm="194">
        <f ca="1"/>
        <v>247.02</v>
      </c>
      <c r="K8" s="1" vm="195">
        <f ca="1"/>
        <v>27.439599999999999</v>
      </c>
      <c r="L8" s="1" vm="196">
        <f ca="1"/>
        <v>241.08</v>
      </c>
      <c r="M8" s="1" vm="197">
        <f ca="1"/>
        <v>199.74</v>
      </c>
      <c r="N8" s="1" vm="198">
        <f ca="1"/>
        <v>117.8425</v>
      </c>
      <c r="O8" s="1" vm="199">
        <f ca="1"/>
        <v>169.7577</v>
      </c>
      <c r="P8" s="1" vm="200">
        <f ca="1"/>
        <v>58.37</v>
      </c>
      <c r="Q8" s="1" vm="201">
        <f ca="1"/>
        <v>142.24</v>
      </c>
      <c r="R8" s="1" vm="202">
        <f ca="1"/>
        <v>143.74</v>
      </c>
      <c r="S8" s="1" vm="203">
        <f ca="1"/>
        <v>124.61</v>
      </c>
      <c r="T8" s="1" vm="204">
        <f ca="1"/>
        <v>318.91000000000003</v>
      </c>
      <c r="U8" s="1" vm="205">
        <f ca="1"/>
        <v>164.24</v>
      </c>
      <c r="V8" s="1" vm="206">
        <f ca="1"/>
        <v>106.97</v>
      </c>
      <c r="W8" s="1" vm="207">
        <f ca="1"/>
        <v>22.224900000000002</v>
      </c>
      <c r="X8" s="1" vm="208">
        <f ca="1"/>
        <v>36.979999999999997</v>
      </c>
      <c r="Y8" s="1" vm="209">
        <f ca="1"/>
        <v>38.729999999999997</v>
      </c>
      <c r="Z8" s="1" vm="210">
        <f ca="1"/>
        <v>360.58</v>
      </c>
      <c r="AA8" s="1" vm="211">
        <f ca="1"/>
        <v>249.68</v>
      </c>
      <c r="AB8" s="1" vm="212">
        <f ca="1"/>
        <v>119.97</v>
      </c>
      <c r="AC8" s="1" vm="213">
        <f ca="1"/>
        <v>47.3429</v>
      </c>
      <c r="AD8" s="1" vm="214">
        <f ca="1"/>
        <v>55.29</v>
      </c>
      <c r="AE8" s="1" vm="215">
        <f ca="1"/>
        <v>233.89</v>
      </c>
      <c r="AF8" s="1" vm="216">
        <f ca="1"/>
        <v>421.65</v>
      </c>
    </row>
    <row r="9" spans="1:32" x14ac:dyDescent="0.25">
      <c r="A9" s="20">
        <f t="shared" ca="1" si="0"/>
        <v>44348</v>
      </c>
      <c r="B9" s="1" vm="217">
        <f ca="1"/>
        <v>226.56440000000001</v>
      </c>
      <c r="C9" s="1" vm="218">
        <f ca="1"/>
        <v>85.28</v>
      </c>
      <c r="D9" s="1" vm="219">
        <f ca="1"/>
        <v>20.002500000000001</v>
      </c>
      <c r="E9" s="1" vm="220">
        <f ca="1"/>
        <v>52.29</v>
      </c>
      <c r="F9" s="1" vm="221">
        <f ca="1"/>
        <v>347.71</v>
      </c>
      <c r="G9" s="1" vm="222">
        <f ca="1"/>
        <v>14.6249</v>
      </c>
      <c r="H9" s="1" vm="223">
        <f ca="1"/>
        <v>45.82</v>
      </c>
      <c r="I9" s="1" vm="224">
        <f ca="1"/>
        <v>104.44</v>
      </c>
      <c r="J9" s="1" vm="225">
        <f ca="1"/>
        <v>239.56</v>
      </c>
      <c r="K9" s="1" vm="226">
        <f ca="1"/>
        <v>31.006799999999998</v>
      </c>
      <c r="L9" s="1" vm="227">
        <f ca="1"/>
        <v>217.63</v>
      </c>
      <c r="M9" s="1" vm="228">
        <f ca="1"/>
        <v>229.52</v>
      </c>
      <c r="N9" s="1" vm="229">
        <f ca="1"/>
        <v>122.0895</v>
      </c>
      <c r="O9" s="1" vm="230">
        <f ca="1"/>
        <v>166.07060000000001</v>
      </c>
      <c r="P9" s="1" vm="231">
        <f ca="1"/>
        <v>63.08</v>
      </c>
      <c r="Q9" s="1" vm="232">
        <f ca="1"/>
        <v>144.63999999999999</v>
      </c>
      <c r="R9" s="1" vm="233">
        <f ca="1"/>
        <v>146.59</v>
      </c>
      <c r="S9" s="1" vm="234">
        <f ca="1"/>
        <v>136.96</v>
      </c>
      <c r="T9" s="1" vm="235">
        <f ca="1"/>
        <v>318.89</v>
      </c>
      <c r="U9" s="1" vm="236">
        <f ca="1"/>
        <v>155.54</v>
      </c>
      <c r="V9" s="1" vm="237">
        <f ca="1"/>
        <v>102.47</v>
      </c>
      <c r="W9" s="1" vm="238">
        <f ca="1"/>
        <v>21.734100000000002</v>
      </c>
      <c r="X9" s="1" vm="24">
        <f ca="1"/>
        <v>38.31</v>
      </c>
      <c r="Y9" s="1" vm="239">
        <f ca="1"/>
        <v>39.159999999999997</v>
      </c>
      <c r="Z9" s="1" vm="240">
        <f ca="1"/>
        <v>365.09</v>
      </c>
      <c r="AA9" s="1" vm="241">
        <f ca="1"/>
        <v>270.89999999999998</v>
      </c>
      <c r="AB9" s="1" vm="242">
        <f ca="1"/>
        <v>115.03</v>
      </c>
      <c r="AC9" s="1" vm="243">
        <f ca="1"/>
        <v>47.0062</v>
      </c>
      <c r="AD9" s="1" vm="244">
        <f ca="1"/>
        <v>54.11</v>
      </c>
      <c r="AE9" s="1" vm="245">
        <f ca="1"/>
        <v>230.99</v>
      </c>
      <c r="AF9" s="1" vm="246">
        <f ca="1"/>
        <v>429.92</v>
      </c>
    </row>
    <row r="10" spans="1:32" x14ac:dyDescent="0.25">
      <c r="A10" s="20">
        <f t="shared" ca="1" si="0"/>
        <v>44378</v>
      </c>
      <c r="B10" s="1" vm="247">
        <f ca="1"/>
        <v>229.06440000000001</v>
      </c>
      <c r="C10" s="1" vm="248">
        <f ca="1"/>
        <v>76.87</v>
      </c>
      <c r="D10" s="1" vm="249">
        <f ca="1"/>
        <v>19.498999999999999</v>
      </c>
      <c r="E10" s="1" vm="250">
        <f ca="1"/>
        <v>46.72</v>
      </c>
      <c r="F10" s="1" vm="251">
        <f ca="1"/>
        <v>356.3</v>
      </c>
      <c r="G10" s="1" vm="252">
        <f ca="1"/>
        <v>13.7293</v>
      </c>
      <c r="H10" s="1" vm="253">
        <f ca="1"/>
        <v>39.619999999999997</v>
      </c>
      <c r="I10" s="1" vm="254">
        <f ca="1"/>
        <v>114.12</v>
      </c>
      <c r="J10" s="1" vm="255">
        <f ca="1"/>
        <v>226.48</v>
      </c>
      <c r="K10" s="1" vm="256">
        <f ca="1"/>
        <v>37.268799999999999</v>
      </c>
      <c r="L10" s="1" vm="257">
        <f ca="1"/>
        <v>206.75</v>
      </c>
      <c r="M10" s="1" vm="258">
        <f ca="1"/>
        <v>243.5</v>
      </c>
      <c r="N10" s="1" vm="259">
        <f ca="1"/>
        <v>134.72649999999999</v>
      </c>
      <c r="O10" s="1" vm="260">
        <f ca="1"/>
        <v>165.49369999999999</v>
      </c>
      <c r="P10" s="1" vm="261">
        <f ca="1"/>
        <v>57.57</v>
      </c>
      <c r="Q10" s="1" vm="262">
        <f ca="1"/>
        <v>157.19999999999999</v>
      </c>
      <c r="R10" s="1" vm="263">
        <f ca="1"/>
        <v>140.96</v>
      </c>
      <c r="S10" s="1" vm="264">
        <f ca="1"/>
        <v>145.86000000000001</v>
      </c>
      <c r="T10" s="1" vm="265">
        <f ca="1"/>
        <v>328.19</v>
      </c>
      <c r="U10" s="1" vm="266">
        <f ca="1"/>
        <v>151.78</v>
      </c>
      <c r="V10" s="1" vm="267">
        <f ca="1"/>
        <v>100.28</v>
      </c>
      <c r="W10" s="1" vm="268">
        <f ca="1"/>
        <v>21.1828</v>
      </c>
      <c r="X10" s="1" vm="269">
        <f ca="1"/>
        <v>40.700000000000003</v>
      </c>
      <c r="Y10" s="1" vm="270">
        <f ca="1"/>
        <v>42.81</v>
      </c>
      <c r="Z10" s="1" vm="271">
        <f ca="1"/>
        <v>385.94</v>
      </c>
      <c r="AA10" s="1" vm="272">
        <f ca="1"/>
        <v>284.91000000000003</v>
      </c>
      <c r="AB10" s="1" vm="273">
        <f ca="1"/>
        <v>131.38999999999999</v>
      </c>
      <c r="AC10" s="1" vm="274">
        <f ca="1"/>
        <v>47.516199999999998</v>
      </c>
      <c r="AD10" s="1" vm="275">
        <f ca="1"/>
        <v>57.03</v>
      </c>
      <c r="AE10" s="1" vm="276">
        <f ca="1"/>
        <v>242.71</v>
      </c>
      <c r="AF10" s="1" vm="277">
        <f ca="1"/>
        <v>440.4</v>
      </c>
    </row>
    <row r="11" spans="1:32" x14ac:dyDescent="0.25">
      <c r="A11" s="20">
        <f t="shared" ca="1" si="0"/>
        <v>44409</v>
      </c>
      <c r="B11" s="1" vm="278">
        <f ca="1"/>
        <v>245.23750000000001</v>
      </c>
      <c r="C11" s="1" vm="279">
        <f ca="1"/>
        <v>82.73</v>
      </c>
      <c r="D11" s="1" vm="280">
        <f ca="1"/>
        <v>22.385000000000002</v>
      </c>
      <c r="E11" s="1" vm="281">
        <f ca="1"/>
        <v>46.51</v>
      </c>
      <c r="F11" s="1" vm="282">
        <f ca="1"/>
        <v>379.38</v>
      </c>
      <c r="G11" s="1" vm="283">
        <f ca="1"/>
        <v>12.8239</v>
      </c>
      <c r="H11" s="1" vm="284">
        <f ca="1"/>
        <v>39.53</v>
      </c>
      <c r="I11" s="1" vm="285">
        <f ca="1"/>
        <v>127.53</v>
      </c>
      <c r="J11" s="1" vm="286">
        <f ca="1"/>
        <v>219.5</v>
      </c>
      <c r="K11" s="1" vm="287">
        <f ca="1"/>
        <v>38.066600000000001</v>
      </c>
      <c r="L11" s="1" vm="288">
        <f ca="1"/>
        <v>210.87</v>
      </c>
      <c r="M11" s="1" vm="289">
        <f ca="1"/>
        <v>258.29000000000002</v>
      </c>
      <c r="N11" s="1" vm="290">
        <f ca="1"/>
        <v>144.69749999999999</v>
      </c>
      <c r="O11" s="1" vm="291">
        <f ca="1"/>
        <v>162.81819999999999</v>
      </c>
      <c r="P11" s="1" vm="292">
        <f ca="1"/>
        <v>54.52</v>
      </c>
      <c r="Q11" s="1" vm="293">
        <f ca="1"/>
        <v>174.43</v>
      </c>
      <c r="R11" s="1" vm="294">
        <f ca="1"/>
        <v>140.34</v>
      </c>
      <c r="S11" s="1" vm="295">
        <f ca="1"/>
        <v>151.83000000000001</v>
      </c>
      <c r="T11" s="1" vm="296">
        <f ca="1"/>
        <v>326.18</v>
      </c>
      <c r="U11" s="1" vm="297">
        <f ca="1"/>
        <v>159.94999999999999</v>
      </c>
      <c r="V11" s="1" vm="298">
        <f ca="1"/>
        <v>105.88</v>
      </c>
      <c r="W11" s="1" vm="299">
        <f ca="1"/>
        <v>20.707000000000001</v>
      </c>
      <c r="X11" s="1" vm="300">
        <f ca="1"/>
        <v>46.03</v>
      </c>
      <c r="Y11" s="1" vm="301">
        <f ca="1"/>
        <v>46.07</v>
      </c>
      <c r="Z11" s="1" vm="302">
        <f ca="1"/>
        <v>346.23</v>
      </c>
      <c r="AA11" s="1" vm="303">
        <f ca="1"/>
        <v>301.88</v>
      </c>
      <c r="AB11" s="1" vm="304">
        <f ca="1"/>
        <v>131.03</v>
      </c>
      <c r="AC11" s="1" vm="305">
        <f ca="1"/>
        <v>49.366199999999999</v>
      </c>
      <c r="AD11" s="1" vm="306">
        <f ca="1"/>
        <v>56.31</v>
      </c>
      <c r="AE11" s="1" vm="307">
        <f ca="1"/>
        <v>237.46</v>
      </c>
      <c r="AF11" s="1" vm="308">
        <f ca="1"/>
        <v>453.71</v>
      </c>
    </row>
    <row r="12" spans="1:32" x14ac:dyDescent="0.25">
      <c r="A12" s="20">
        <f t="shared" ca="1" si="0"/>
        <v>44440</v>
      </c>
      <c r="B12" s="1" vm="309">
        <f ca="1"/>
        <v>258.4907</v>
      </c>
      <c r="C12" s="1" vm="310">
        <f ca="1"/>
        <v>88.95</v>
      </c>
      <c r="D12" s="1" vm="311">
        <f ca="1"/>
        <v>20.716000000000001</v>
      </c>
      <c r="E12" s="1" vm="312">
        <f ca="1"/>
        <v>47.57</v>
      </c>
      <c r="F12" s="1" vm="313">
        <f ca="1"/>
        <v>339.39</v>
      </c>
      <c r="G12" s="1" vm="314">
        <f ca="1"/>
        <v>13.936</v>
      </c>
      <c r="H12" s="1" vm="315">
        <f ca="1"/>
        <v>36.61</v>
      </c>
      <c r="I12" s="1" vm="316">
        <f ca="1"/>
        <v>126.99</v>
      </c>
      <c r="J12" s="1" vm="317">
        <f ca="1"/>
        <v>219.94</v>
      </c>
      <c r="K12" s="1" vm="318">
        <f ca="1"/>
        <v>36.3504</v>
      </c>
      <c r="L12" s="1" vm="319">
        <f ca="1"/>
        <v>191.97</v>
      </c>
      <c r="M12" s="1" vm="320">
        <f ca="1"/>
        <v>231.05</v>
      </c>
      <c r="N12" s="1" vm="321">
        <f ca="1"/>
        <v>133.67599999999999</v>
      </c>
      <c r="O12" s="1" vm="322">
        <f ca="1"/>
        <v>146.6652</v>
      </c>
      <c r="P12" s="1" vm="323">
        <f ca="1"/>
        <v>58.82</v>
      </c>
      <c r="Q12" s="1" vm="324">
        <f ca="1"/>
        <v>155.46</v>
      </c>
      <c r="R12" s="1" vm="325">
        <f ca="1"/>
        <v>138.93</v>
      </c>
      <c r="S12" s="1" vm="326">
        <f ca="1"/>
        <v>141.5</v>
      </c>
      <c r="T12" s="1" vm="327">
        <f ca="1"/>
        <v>328.26</v>
      </c>
      <c r="U12" s="1" vm="328">
        <f ca="1"/>
        <v>163.69</v>
      </c>
      <c r="V12" s="1" vm="329">
        <f ca="1"/>
        <v>105.2</v>
      </c>
      <c r="W12" s="1" vm="330">
        <f ca="1"/>
        <v>20.397400000000001</v>
      </c>
      <c r="X12" s="1" vm="331">
        <f ca="1"/>
        <v>40.43</v>
      </c>
      <c r="Y12" s="1" vm="332">
        <f ca="1"/>
        <v>43.01</v>
      </c>
      <c r="Z12" s="1" vm="333">
        <f ca="1"/>
        <v>347.68</v>
      </c>
      <c r="AA12" s="1" vm="334">
        <f ca="1"/>
        <v>281.92</v>
      </c>
      <c r="AB12" s="1" vm="335">
        <f ca="1"/>
        <v>122.31</v>
      </c>
      <c r="AC12" s="1" vm="336">
        <f ca="1"/>
        <v>46.459499999999998</v>
      </c>
      <c r="AD12" s="1" vm="337">
        <f ca="1"/>
        <v>52.47</v>
      </c>
      <c r="AE12" s="1" vm="338">
        <f ca="1"/>
        <v>241.11</v>
      </c>
      <c r="AF12" s="1" vm="339">
        <f ca="1"/>
        <v>430.82</v>
      </c>
    </row>
    <row r="13" spans="1:32" x14ac:dyDescent="0.25">
      <c r="A13" s="20">
        <f t="shared" ca="1" si="0"/>
        <v>44470</v>
      </c>
      <c r="B13" s="1" vm="340">
        <f ca="1"/>
        <v>371.32960000000003</v>
      </c>
      <c r="C13" s="1" vm="341">
        <f ca="1"/>
        <v>84.43</v>
      </c>
      <c r="D13" s="1" vm="342">
        <f ca="1"/>
        <v>25.567</v>
      </c>
      <c r="E13" s="1" vm="343">
        <f ca="1"/>
        <v>46.14</v>
      </c>
      <c r="F13" s="1" vm="344">
        <f ca="1"/>
        <v>323.57</v>
      </c>
      <c r="G13" s="1" vm="345">
        <f ca="1"/>
        <v>16.809799999999999</v>
      </c>
      <c r="H13" s="1" vm="346">
        <f ca="1"/>
        <v>36.49</v>
      </c>
      <c r="I13" s="1" vm="347">
        <f ca="1"/>
        <v>124.08</v>
      </c>
      <c r="J13" s="1" vm="348">
        <f ca="1"/>
        <v>207.03</v>
      </c>
      <c r="K13" s="1" vm="349">
        <f ca="1"/>
        <v>35.580599999999997</v>
      </c>
      <c r="L13" s="1" vm="350">
        <f ca="1"/>
        <v>204.01</v>
      </c>
      <c r="M13" s="1" vm="351">
        <f ca="1"/>
        <v>254.76</v>
      </c>
      <c r="N13" s="1" vm="352">
        <f ca="1"/>
        <v>148.04599999999999</v>
      </c>
      <c r="O13" s="1" vm="353">
        <f ca="1"/>
        <v>149.39080000000001</v>
      </c>
      <c r="P13" s="1" vm="354">
        <f ca="1"/>
        <v>64.47</v>
      </c>
      <c r="Q13" s="1" vm="355">
        <f ca="1"/>
        <v>143.6</v>
      </c>
      <c r="R13" s="1" vm="356">
        <f ca="1"/>
        <v>125.1</v>
      </c>
      <c r="S13" s="1" vm="357">
        <f ca="1"/>
        <v>149.80000000000001</v>
      </c>
      <c r="T13" s="1" vm="358">
        <f ca="1"/>
        <v>371.74</v>
      </c>
      <c r="U13" s="1" vm="359">
        <f ca="1"/>
        <v>169.89</v>
      </c>
      <c r="V13" s="1" vm="360">
        <f ca="1"/>
        <v>110.05</v>
      </c>
      <c r="W13" s="1" vm="361">
        <f ca="1"/>
        <v>19.075800000000001</v>
      </c>
      <c r="X13" s="1" vm="362">
        <f ca="1"/>
        <v>40.020000000000003</v>
      </c>
      <c r="Y13" s="1" vm="363">
        <f ca="1"/>
        <v>43.74</v>
      </c>
      <c r="Z13" s="1" vm="364">
        <f ca="1"/>
        <v>335.52</v>
      </c>
      <c r="AA13" s="1" vm="365">
        <f ca="1"/>
        <v>331.62</v>
      </c>
      <c r="AB13" s="1" vm="366">
        <f ca="1"/>
        <v>124.94</v>
      </c>
      <c r="AC13" s="1" vm="367">
        <f ca="1"/>
        <v>49.806199999999997</v>
      </c>
      <c r="AD13" s="1" vm="368">
        <f ca="1"/>
        <v>56.37</v>
      </c>
      <c r="AE13" s="1" vm="369">
        <f ca="1"/>
        <v>245.55</v>
      </c>
      <c r="AF13" s="1" vm="370">
        <f ca="1"/>
        <v>460.99</v>
      </c>
    </row>
    <row r="14" spans="1:32" x14ac:dyDescent="0.25">
      <c r="A14" s="20">
        <f t="shared" ca="1" si="0"/>
        <v>44501</v>
      </c>
      <c r="B14" s="1" vm="371">
        <f ca="1"/>
        <v>381.5829</v>
      </c>
      <c r="C14" s="1" vm="372">
        <f ca="1"/>
        <v>69.819999999999993</v>
      </c>
      <c r="D14" s="1" vm="373">
        <f ca="1"/>
        <v>32.676000000000002</v>
      </c>
      <c r="E14" s="1" vm="374">
        <f ca="1"/>
        <v>42.26</v>
      </c>
      <c r="F14" s="1" vm="375">
        <f ca="1"/>
        <v>324.45999999999998</v>
      </c>
      <c r="G14" s="1" vm="376">
        <f ca="1"/>
        <v>18.886399999999998</v>
      </c>
      <c r="H14" s="1" vm="377">
        <f ca="1"/>
        <v>36.630000000000003</v>
      </c>
      <c r="I14" s="1" vm="378">
        <f ca="1"/>
        <v>121.92</v>
      </c>
      <c r="J14" s="1" vm="379">
        <f ca="1"/>
        <v>197.85</v>
      </c>
      <c r="K14" s="1" vm="380">
        <f ca="1"/>
        <v>32.868200000000002</v>
      </c>
      <c r="L14" s="1" vm="381">
        <f ca="1"/>
        <v>193.35</v>
      </c>
      <c r="M14" s="1" vm="382">
        <f ca="1"/>
        <v>248.04</v>
      </c>
      <c r="N14" s="1" vm="383">
        <f ca="1"/>
        <v>141.89750000000001</v>
      </c>
      <c r="O14" s="1" vm="384">
        <f ca="1"/>
        <v>142.167</v>
      </c>
      <c r="P14" s="1" vm="385">
        <f ca="1"/>
        <v>59.84</v>
      </c>
      <c r="Q14" s="1" vm="386">
        <f ca="1"/>
        <v>133.54</v>
      </c>
      <c r="R14" s="1" vm="387">
        <f ca="1"/>
        <v>117.1</v>
      </c>
      <c r="S14" s="1" vm="388">
        <f ca="1"/>
        <v>165.3</v>
      </c>
      <c r="T14" s="1" vm="389">
        <f ca="1"/>
        <v>400.61</v>
      </c>
      <c r="U14" s="1" vm="390">
        <f ca="1"/>
        <v>158.83000000000001</v>
      </c>
      <c r="V14" s="1" vm="391">
        <f ca="1"/>
        <v>102.26</v>
      </c>
      <c r="W14" s="1" vm="392">
        <f ca="1"/>
        <v>17.2408</v>
      </c>
      <c r="X14" s="1" vm="393">
        <f ca="1"/>
        <v>41.53</v>
      </c>
      <c r="Y14" s="1" vm="394">
        <f ca="1"/>
        <v>53.73</v>
      </c>
      <c r="Z14" s="1" vm="395">
        <f ca="1"/>
        <v>314.92</v>
      </c>
      <c r="AA14" s="1" vm="396">
        <f ca="1"/>
        <v>330.59</v>
      </c>
      <c r="AB14" s="1" vm="397">
        <f ca="1"/>
        <v>122.84</v>
      </c>
      <c r="AC14" s="1" vm="398">
        <f ca="1"/>
        <v>46.876199999999997</v>
      </c>
      <c r="AD14" s="1" vm="399">
        <f ca="1"/>
        <v>52.45</v>
      </c>
      <c r="AE14" s="1" vm="400">
        <f ca="1"/>
        <v>244.6</v>
      </c>
      <c r="AF14" s="1" vm="401">
        <f ca="1"/>
        <v>457.63</v>
      </c>
    </row>
    <row r="15" spans="1:32" x14ac:dyDescent="0.25">
      <c r="A15" s="20">
        <f t="shared" ca="1" si="0"/>
        <v>44531</v>
      </c>
      <c r="B15" s="1" vm="402">
        <f ca="1"/>
        <v>352.25650000000002</v>
      </c>
      <c r="C15" s="1" vm="403">
        <f ca="1"/>
        <v>76.900000000000006</v>
      </c>
      <c r="D15" s="1" vm="404">
        <f ca="1"/>
        <v>29.411000000000001</v>
      </c>
      <c r="E15" s="1" vm="405">
        <f ca="1"/>
        <v>43.78</v>
      </c>
      <c r="F15" s="1" vm="406">
        <f ca="1"/>
        <v>336.35</v>
      </c>
      <c r="G15" s="1" vm="407">
        <f ca="1"/>
        <v>20.441400000000002</v>
      </c>
      <c r="H15" s="1" vm="408">
        <f ca="1"/>
        <v>37.69</v>
      </c>
      <c r="I15" s="1" vm="409">
        <f ca="1"/>
        <v>133.47</v>
      </c>
      <c r="J15" s="1" vm="410">
        <f ca="1"/>
        <v>201.32</v>
      </c>
      <c r="K15" s="1" vm="411">
        <f ca="1"/>
        <v>34.965000000000003</v>
      </c>
      <c r="L15" s="1" vm="412">
        <f ca="1"/>
        <v>206.74</v>
      </c>
      <c r="M15" s="1" vm="413">
        <f ca="1"/>
        <v>276.22000000000003</v>
      </c>
      <c r="N15" s="1" vm="414">
        <f ca="1"/>
        <v>144.852</v>
      </c>
      <c r="O15" s="1" vm="415">
        <f ca="1"/>
        <v>148.5129</v>
      </c>
      <c r="P15" s="1" vm="416">
        <f ca="1"/>
        <v>61.19</v>
      </c>
      <c r="Q15" s="1" vm="417">
        <f ca="1"/>
        <v>136.16999999999999</v>
      </c>
      <c r="R15" s="1" vm="418">
        <f ca="1"/>
        <v>133.66</v>
      </c>
      <c r="S15" s="1" vm="419">
        <f ca="1"/>
        <v>177.57</v>
      </c>
      <c r="T15" s="1" vm="420">
        <f ca="1"/>
        <v>415.01</v>
      </c>
      <c r="U15" s="1" vm="421">
        <f ca="1"/>
        <v>158.35</v>
      </c>
      <c r="V15" s="1" vm="422">
        <f ca="1"/>
        <v>108.24</v>
      </c>
      <c r="W15" s="1" vm="423">
        <f ca="1"/>
        <v>18.577400000000001</v>
      </c>
      <c r="X15" s="1" vm="424">
        <f ca="1"/>
        <v>45.26</v>
      </c>
      <c r="Y15" s="1" vm="425">
        <f ca="1"/>
        <v>59.05</v>
      </c>
      <c r="Z15" s="1" vm="426">
        <f ca="1"/>
        <v>359.32</v>
      </c>
      <c r="AA15" s="1" vm="427">
        <f ca="1"/>
        <v>336.32</v>
      </c>
      <c r="AB15" s="1" vm="428">
        <f ca="1"/>
        <v>138.86000000000001</v>
      </c>
      <c r="AC15" s="1" vm="429">
        <f ca="1"/>
        <v>48.229500000000002</v>
      </c>
      <c r="AD15" s="1" vm="430">
        <f ca="1"/>
        <v>59.21</v>
      </c>
      <c r="AE15" s="1" vm="431">
        <f ca="1"/>
        <v>268.07</v>
      </c>
      <c r="AF15" s="1" vm="432">
        <f ca="1"/>
        <v>476.99</v>
      </c>
    </row>
    <row r="16" spans="1:32" x14ac:dyDescent="0.25">
      <c r="A16" s="20">
        <f t="shared" ca="1" si="0"/>
        <v>44562</v>
      </c>
      <c r="B16" s="1" vm="433">
        <f ca="1"/>
        <v>312.23689999999999</v>
      </c>
      <c r="C16" s="1" vm="434">
        <f ca="1"/>
        <v>77.81</v>
      </c>
      <c r="D16" s="1" vm="435">
        <f ca="1"/>
        <v>24.486000000000001</v>
      </c>
      <c r="E16" s="1" vm="436">
        <f ca="1"/>
        <v>42.88</v>
      </c>
      <c r="F16" s="1" vm="437">
        <f ca="1"/>
        <v>313.26</v>
      </c>
      <c r="G16" s="1" vm="438">
        <f ca="1"/>
        <v>19.978899999999999</v>
      </c>
      <c r="H16" s="1" vm="439">
        <f ca="1"/>
        <v>34.57</v>
      </c>
      <c r="I16" s="1" vm="440">
        <f ca="1"/>
        <v>123.45</v>
      </c>
      <c r="J16" s="1" vm="441">
        <f ca="1"/>
        <v>200.24</v>
      </c>
      <c r="K16" s="1" vm="442">
        <f ca="1"/>
        <v>29.711600000000001</v>
      </c>
      <c r="L16" s="1" vm="443">
        <f ca="1"/>
        <v>201.56</v>
      </c>
      <c r="M16" s="1" vm="444">
        <f ca="1"/>
        <v>245.39</v>
      </c>
      <c r="N16" s="1" vm="445">
        <f ca="1"/>
        <v>135.30350000000001</v>
      </c>
      <c r="O16" s="1" vm="446">
        <f ca="1"/>
        <v>138.80600000000001</v>
      </c>
      <c r="P16" s="1" vm="447">
        <f ca="1"/>
        <v>75.959999999999994</v>
      </c>
      <c r="Q16" s="1" vm="448">
        <f ca="1"/>
        <v>124.42</v>
      </c>
      <c r="R16" s="1" vm="449">
        <f ca="1"/>
        <v>133.57</v>
      </c>
      <c r="S16" s="1" vm="450">
        <f ca="1"/>
        <v>174.78</v>
      </c>
      <c r="T16" s="1" vm="451">
        <f ca="1"/>
        <v>366.98</v>
      </c>
      <c r="U16" s="1" vm="452">
        <f ca="1"/>
        <v>148.6</v>
      </c>
      <c r="V16" s="1" vm="453">
        <f ca="1"/>
        <v>111.57</v>
      </c>
      <c r="W16" s="1" vm="454">
        <f ca="1"/>
        <v>19.257100000000001</v>
      </c>
      <c r="X16" s="1" vm="455">
        <f ca="1"/>
        <v>43.59</v>
      </c>
      <c r="Y16" s="1" vm="456">
        <f ca="1"/>
        <v>52.69</v>
      </c>
      <c r="Z16" s="1" vm="457">
        <f ca="1"/>
        <v>386.38</v>
      </c>
      <c r="AA16" s="1" vm="458">
        <f ca="1"/>
        <v>310.98</v>
      </c>
      <c r="AB16" s="1" vm="459">
        <f ca="1"/>
        <v>125.17</v>
      </c>
      <c r="AC16" s="1" vm="460">
        <f ca="1"/>
        <v>46.602899999999998</v>
      </c>
      <c r="AD16" s="1" vm="461">
        <f ca="1"/>
        <v>61.01</v>
      </c>
      <c r="AE16" s="1" vm="462">
        <f ca="1"/>
        <v>259.45</v>
      </c>
      <c r="AF16" s="1" vm="463">
        <f ca="1"/>
        <v>451.77</v>
      </c>
    </row>
    <row r="17" spans="1:32" x14ac:dyDescent="0.25">
      <c r="A17" s="20">
        <f t="shared" ca="1" si="0"/>
        <v>44593</v>
      </c>
      <c r="B17" s="1" vm="464">
        <f ca="1"/>
        <v>290.1404</v>
      </c>
      <c r="C17" s="1" vm="465">
        <f ca="1"/>
        <v>80.72</v>
      </c>
      <c r="D17" s="1" vm="466">
        <f ca="1"/>
        <v>24.385000000000002</v>
      </c>
      <c r="E17" s="1" vm="467">
        <f ca="1"/>
        <v>44.4</v>
      </c>
      <c r="F17" s="1" vm="468">
        <f ca="1"/>
        <v>211.03</v>
      </c>
      <c r="G17" s="1" vm="469">
        <f ca="1"/>
        <v>17.2822</v>
      </c>
      <c r="H17" s="1" vm="470">
        <f ca="1"/>
        <v>41.3</v>
      </c>
      <c r="I17" s="1" vm="471">
        <f ca="1"/>
        <v>106.82</v>
      </c>
      <c r="J17" s="1" vm="472">
        <f ca="1"/>
        <v>205.34</v>
      </c>
      <c r="K17" s="1" vm="473">
        <f ca="1"/>
        <v>30.466999999999999</v>
      </c>
      <c r="L17" s="1" vm="474">
        <f ca="1"/>
        <v>187.58</v>
      </c>
      <c r="M17" s="1" vm="475">
        <f ca="1"/>
        <v>249.95</v>
      </c>
      <c r="N17" s="1" vm="476">
        <f ca="1"/>
        <v>135.05699999999999</v>
      </c>
      <c r="O17" s="1" vm="477">
        <f ca="1"/>
        <v>124.2833</v>
      </c>
      <c r="P17" s="1" vm="478">
        <f ca="1"/>
        <v>78.42</v>
      </c>
      <c r="Q17" s="1" vm="479">
        <f ca="1"/>
        <v>110.44</v>
      </c>
      <c r="R17" s="1" vm="480">
        <f ca="1"/>
        <v>122.51</v>
      </c>
      <c r="S17" s="1" vm="481">
        <f ca="1"/>
        <v>165.12</v>
      </c>
      <c r="T17" s="1" vm="482">
        <f ca="1"/>
        <v>315.83</v>
      </c>
      <c r="U17" s="1" vm="483">
        <f ca="1"/>
        <v>141.80000000000001</v>
      </c>
      <c r="V17" s="1" vm="484">
        <f ca="1"/>
        <v>111.66</v>
      </c>
      <c r="W17" s="1" vm="485">
        <f ca="1"/>
        <v>17.8902</v>
      </c>
      <c r="X17" s="1" vm="486">
        <f ca="1"/>
        <v>46.8</v>
      </c>
      <c r="Y17" s="1" vm="487">
        <f ca="1"/>
        <v>46.94</v>
      </c>
      <c r="Z17" s="1" vm="488">
        <f ca="1"/>
        <v>360.82</v>
      </c>
      <c r="AA17" s="1" vm="489">
        <f ca="1"/>
        <v>298.79000000000002</v>
      </c>
      <c r="AB17" s="1" vm="490">
        <f ca="1"/>
        <v>122.58</v>
      </c>
      <c r="AC17" s="1" vm="491">
        <f ca="1"/>
        <v>45.052900000000001</v>
      </c>
      <c r="AD17" s="1" vm="492">
        <f ca="1"/>
        <v>62.24</v>
      </c>
      <c r="AE17" s="1" vm="493">
        <f ca="1"/>
        <v>244.77</v>
      </c>
      <c r="AF17" s="1" vm="494">
        <f ca="1"/>
        <v>438.72</v>
      </c>
    </row>
    <row r="18" spans="1:32" x14ac:dyDescent="0.25">
      <c r="A18" s="20">
        <f t="shared" ca="1" si="0"/>
        <v>44621</v>
      </c>
      <c r="B18" s="1" vm="495">
        <f ca="1"/>
        <v>359.19639999999998</v>
      </c>
      <c r="C18" s="1" vm="496">
        <f ca="1"/>
        <v>83.78</v>
      </c>
      <c r="D18" s="1" vm="497">
        <f ca="1"/>
        <v>27.286000000000001</v>
      </c>
      <c r="E18" s="1" vm="498">
        <f ca="1"/>
        <v>46.36</v>
      </c>
      <c r="F18" s="1" vm="499">
        <f ca="1"/>
        <v>222.36</v>
      </c>
      <c r="G18" s="1" vm="500">
        <f ca="1"/>
        <v>16.642499999999998</v>
      </c>
      <c r="H18" s="1" vm="501">
        <f ca="1"/>
        <v>39.4</v>
      </c>
      <c r="I18" s="1" vm="502">
        <f ca="1"/>
        <v>105.28</v>
      </c>
      <c r="J18" s="1" vm="503">
        <f ca="1"/>
        <v>191.5</v>
      </c>
      <c r="K18" s="1" vm="504">
        <f ca="1"/>
        <v>31.640599999999999</v>
      </c>
      <c r="L18" s="1" vm="505">
        <f ca="1"/>
        <v>222.82</v>
      </c>
      <c r="M18" s="1" vm="506">
        <f ca="1"/>
        <v>286.37</v>
      </c>
      <c r="N18" s="1" vm="507">
        <f ca="1"/>
        <v>139.0675</v>
      </c>
      <c r="O18" s="1" vm="508">
        <f ca="1"/>
        <v>124.4756</v>
      </c>
      <c r="P18" s="1" vm="509">
        <f ca="1"/>
        <v>82.59</v>
      </c>
      <c r="Q18" s="1" vm="510">
        <f ca="1"/>
        <v>118.61</v>
      </c>
      <c r="R18" s="1" vm="511">
        <f ca="1"/>
        <v>130.02000000000001</v>
      </c>
      <c r="S18" s="1" vm="512">
        <f ca="1"/>
        <v>174.61</v>
      </c>
      <c r="T18" s="1" vm="513">
        <f ca="1"/>
        <v>299.33</v>
      </c>
      <c r="U18" s="1" vm="514">
        <f ca="1"/>
        <v>136.32</v>
      </c>
      <c r="V18" s="1" vm="515">
        <f ca="1"/>
        <v>118.17</v>
      </c>
      <c r="W18" s="1" vm="516">
        <f ca="1"/>
        <v>17.844899999999999</v>
      </c>
      <c r="X18" s="1" vm="517">
        <f ca="1"/>
        <v>57.37</v>
      </c>
      <c r="Y18" s="1" vm="518">
        <f ca="1"/>
        <v>51.77</v>
      </c>
      <c r="Z18" s="1" vm="519">
        <f ca="1"/>
        <v>357.38</v>
      </c>
      <c r="AA18" s="1" vm="520">
        <f ca="1"/>
        <v>308.31</v>
      </c>
      <c r="AB18" s="1" vm="521">
        <f ca="1"/>
        <v>118.53</v>
      </c>
      <c r="AC18" s="1" vm="522">
        <f ca="1"/>
        <v>49.639499999999998</v>
      </c>
      <c r="AD18" s="1" vm="523">
        <f ca="1"/>
        <v>62</v>
      </c>
      <c r="AE18" s="1" vm="524">
        <f ca="1"/>
        <v>247.28</v>
      </c>
      <c r="AF18" s="1" vm="525">
        <f ca="1"/>
        <v>453.69</v>
      </c>
    </row>
    <row r="19" spans="1:32" x14ac:dyDescent="0.25">
      <c r="A19" s="20">
        <f t="shared" ca="1" si="0"/>
        <v>44652</v>
      </c>
      <c r="B19" s="1" vm="526">
        <f ca="1"/>
        <v>290.25040000000001</v>
      </c>
      <c r="C19" s="1" vm="527">
        <f ca="1"/>
        <v>77.73</v>
      </c>
      <c r="D19" s="1" vm="528">
        <f ca="1"/>
        <v>18.547000000000001</v>
      </c>
      <c r="E19" s="1" vm="529">
        <f ca="1"/>
        <v>50.5</v>
      </c>
      <c r="F19" s="1" vm="530">
        <f ca="1"/>
        <v>200.47</v>
      </c>
      <c r="G19" s="1" vm="314">
        <f ca="1"/>
        <v>13.936</v>
      </c>
      <c r="H19" s="1" vm="531">
        <f ca="1"/>
        <v>36.450000000000003</v>
      </c>
      <c r="I19" s="1" vm="532">
        <f ca="1"/>
        <v>91.05</v>
      </c>
      <c r="J19" s="1" vm="533">
        <f ca="1"/>
        <v>148.84</v>
      </c>
      <c r="K19" s="1" vm="534">
        <f ca="1"/>
        <v>29.112200000000001</v>
      </c>
      <c r="L19" s="1" vm="535">
        <f ca="1"/>
        <v>210.54</v>
      </c>
      <c r="M19" s="1" vm="536">
        <f ca="1"/>
        <v>292.13</v>
      </c>
      <c r="N19" s="1" vm="537">
        <f ca="1"/>
        <v>114.1095</v>
      </c>
      <c r="O19" s="1" vm="538">
        <f ca="1"/>
        <v>120.5795</v>
      </c>
      <c r="P19" s="1" vm="539">
        <f ca="1"/>
        <v>85.25</v>
      </c>
      <c r="Q19" s="1" vm="540">
        <f ca="1"/>
        <v>109.74</v>
      </c>
      <c r="R19" s="1" vm="541">
        <f ca="1"/>
        <v>132.21</v>
      </c>
      <c r="S19" s="1" vm="542">
        <f ca="1"/>
        <v>157.65</v>
      </c>
      <c r="T19" s="1" vm="543">
        <f ca="1"/>
        <v>300.39999999999998</v>
      </c>
      <c r="U19" s="1" vm="544">
        <f ca="1"/>
        <v>119.36</v>
      </c>
      <c r="V19" s="1" vm="545">
        <f ca="1"/>
        <v>108.51</v>
      </c>
      <c r="W19" s="1" vm="546">
        <f ca="1"/>
        <v>18.86</v>
      </c>
      <c r="X19" s="1" vm="547">
        <f ca="1"/>
        <v>53.96</v>
      </c>
      <c r="Y19" s="1" vm="548">
        <f ca="1"/>
        <v>49.07</v>
      </c>
      <c r="Z19" s="1" vm="549">
        <f ca="1"/>
        <v>363.38</v>
      </c>
      <c r="AA19" s="1" vm="550">
        <f ca="1"/>
        <v>277.52</v>
      </c>
      <c r="AB19" s="1" vm="551">
        <f ca="1"/>
        <v>117.01</v>
      </c>
      <c r="AC19" s="1" vm="552">
        <f ca="1"/>
        <v>50.996200000000002</v>
      </c>
      <c r="AD19" s="1" vm="553">
        <f ca="1"/>
        <v>64.61</v>
      </c>
      <c r="AE19" s="1" vm="554">
        <f ca="1"/>
        <v>249.16</v>
      </c>
      <c r="AF19" s="1" vm="555">
        <f ca="1"/>
        <v>413.56</v>
      </c>
    </row>
    <row r="20" spans="1:32" x14ac:dyDescent="0.25">
      <c r="A20" s="20">
        <f t="shared" ca="1" si="0"/>
        <v>44682</v>
      </c>
      <c r="B20" s="1" vm="556">
        <f ca="1"/>
        <v>252.7508</v>
      </c>
      <c r="C20" s="1" vm="557">
        <f ca="1"/>
        <v>58.07</v>
      </c>
      <c r="D20" s="1" vm="558">
        <f ca="1"/>
        <v>18.672000000000001</v>
      </c>
      <c r="E20" s="1" vm="559">
        <f ca="1"/>
        <v>47.63</v>
      </c>
      <c r="F20" s="1" vm="560">
        <f ca="1"/>
        <v>193.64</v>
      </c>
      <c r="G20" s="1" vm="561">
        <f ca="1"/>
        <v>13.4636</v>
      </c>
      <c r="H20" s="1" vm="562">
        <f ca="1"/>
        <v>35.18</v>
      </c>
      <c r="I20" s="1" vm="563">
        <f ca="1"/>
        <v>88.01</v>
      </c>
      <c r="J20" s="1" vm="564">
        <f ca="1"/>
        <v>131.4</v>
      </c>
      <c r="K20" s="1" vm="565">
        <f ca="1"/>
        <v>28.050999999999998</v>
      </c>
      <c r="L20" s="1" vm="566">
        <f ca="1"/>
        <v>215.85</v>
      </c>
      <c r="M20" s="1" vm="567">
        <f ca="1"/>
        <v>313.44</v>
      </c>
      <c r="N20" s="1" vm="568">
        <f ca="1"/>
        <v>113.762</v>
      </c>
      <c r="O20" s="1" vm="569">
        <f ca="1"/>
        <v>124.8184</v>
      </c>
      <c r="P20" s="1" vm="570">
        <f ca="1"/>
        <v>96</v>
      </c>
      <c r="Q20" s="1" vm="571">
        <f ca="1"/>
        <v>105.62</v>
      </c>
      <c r="R20" s="1" vm="572">
        <f ca="1"/>
        <v>138.84</v>
      </c>
      <c r="S20" s="1" vm="533">
        <f ca="1"/>
        <v>148.84</v>
      </c>
      <c r="T20" s="1" vm="573">
        <f ca="1"/>
        <v>302.75</v>
      </c>
      <c r="U20" s="1" vm="574">
        <f ca="1"/>
        <v>132.22999999999999</v>
      </c>
      <c r="V20" s="1" vm="575">
        <f ca="1"/>
        <v>106.25</v>
      </c>
      <c r="W20" s="1" vm="576">
        <f ca="1"/>
        <v>21.29</v>
      </c>
      <c r="X20" s="1" vm="577">
        <f ca="1"/>
        <v>52.97</v>
      </c>
      <c r="Y20" s="1" vm="578">
        <f ca="1"/>
        <v>53.04</v>
      </c>
      <c r="Z20" s="1" vm="579">
        <f ca="1"/>
        <v>357.87</v>
      </c>
      <c r="AA20" s="1" vm="580">
        <f ca="1"/>
        <v>271.87</v>
      </c>
      <c r="AB20" s="1" vm="581">
        <f ca="1"/>
        <v>121.47</v>
      </c>
      <c r="AC20" s="1" vm="582">
        <f ca="1"/>
        <v>42.876199999999997</v>
      </c>
      <c r="AD20" s="1" vm="583">
        <f ca="1"/>
        <v>63.38</v>
      </c>
      <c r="AE20" s="1" vm="584">
        <f ca="1"/>
        <v>252.21</v>
      </c>
      <c r="AF20" s="1" vm="585">
        <f ca="1"/>
        <v>414.87</v>
      </c>
    </row>
    <row r="21" spans="1:32" x14ac:dyDescent="0.25">
      <c r="A21" s="20">
        <f t="shared" ca="1" si="0"/>
        <v>44713</v>
      </c>
      <c r="B21" s="1" vm="586">
        <f ca="1"/>
        <v>224.47110000000001</v>
      </c>
      <c r="C21" s="1" vm="587">
        <f ca="1"/>
        <v>34.909999999999997</v>
      </c>
      <c r="D21" s="1" vm="588">
        <f ca="1"/>
        <v>15.159000000000001</v>
      </c>
      <c r="E21" s="1" vm="589">
        <f ca="1"/>
        <v>35.42</v>
      </c>
      <c r="F21" s="1" vm="590">
        <f ca="1"/>
        <v>161.25</v>
      </c>
      <c r="G21" s="1" vm="591">
        <f ca="1"/>
        <v>10.953900000000001</v>
      </c>
      <c r="H21" s="1" vm="592">
        <f ca="1"/>
        <v>31.66</v>
      </c>
      <c r="I21" s="1" vm="593">
        <f ca="1"/>
        <v>83.52</v>
      </c>
      <c r="J21" s="1" vm="594">
        <f ca="1"/>
        <v>136.72</v>
      </c>
      <c r="K21" s="1" vm="595">
        <f ca="1"/>
        <v>26.145199999999999</v>
      </c>
      <c r="L21" s="1" vm="596">
        <f ca="1"/>
        <v>178.76</v>
      </c>
      <c r="M21" s="1" vm="597">
        <f ca="1"/>
        <v>324.23</v>
      </c>
      <c r="N21" s="1" vm="598">
        <f ca="1"/>
        <v>108.96299999999999</v>
      </c>
      <c r="O21" s="1" vm="599">
        <f ca="1"/>
        <v>108.19710000000001</v>
      </c>
      <c r="P21" s="1" vm="600">
        <f ca="1"/>
        <v>85.64</v>
      </c>
      <c r="Q21" s="1" vm="601">
        <f ca="1"/>
        <v>98.25</v>
      </c>
      <c r="R21" s="1" vm="602">
        <f ca="1"/>
        <v>141.19</v>
      </c>
      <c r="S21" s="1" vm="594">
        <f ca="1"/>
        <v>136.72</v>
      </c>
      <c r="T21" s="1" vm="603">
        <f ca="1"/>
        <v>274.27</v>
      </c>
      <c r="U21" s="1" vm="604">
        <f ca="1"/>
        <v>112.61</v>
      </c>
      <c r="V21" s="1" vm="605">
        <f ca="1"/>
        <v>95.68</v>
      </c>
      <c r="W21" s="1" vm="606">
        <f ca="1"/>
        <v>20.96</v>
      </c>
      <c r="X21" s="1" vm="607">
        <f ca="1"/>
        <v>47.33</v>
      </c>
      <c r="Y21" s="1" vm="608">
        <f ca="1"/>
        <v>52.43</v>
      </c>
      <c r="Z21" s="1" vm="609">
        <f ca="1"/>
        <v>315.48</v>
      </c>
      <c r="AA21" s="1" vm="610">
        <f ca="1"/>
        <v>256.83</v>
      </c>
      <c r="AB21" s="1" vm="611">
        <f ca="1"/>
        <v>113.51</v>
      </c>
      <c r="AC21" s="1" vm="612">
        <f ca="1"/>
        <v>40.526299999999999</v>
      </c>
      <c r="AD21" s="1" vm="613">
        <f ca="1"/>
        <v>62.91</v>
      </c>
      <c r="AE21" s="1" vm="614">
        <f ca="1"/>
        <v>246.88</v>
      </c>
      <c r="AF21" s="1" vm="615">
        <f ca="1"/>
        <v>379.15</v>
      </c>
    </row>
    <row r="22" spans="1:32" x14ac:dyDescent="0.25">
      <c r="A22" s="20">
        <f t="shared" ca="1" si="0"/>
        <v>44743</v>
      </c>
      <c r="B22" s="1" vm="616">
        <f ca="1"/>
        <v>297.14699999999999</v>
      </c>
      <c r="C22" s="1" vm="617">
        <f ca="1"/>
        <v>38.71</v>
      </c>
      <c r="D22" s="1" vm="618">
        <f ca="1"/>
        <v>18.163</v>
      </c>
      <c r="E22" s="1" vm="619">
        <f ca="1"/>
        <v>36.75</v>
      </c>
      <c r="F22" s="1" vm="620">
        <f ca="1"/>
        <v>159.1</v>
      </c>
      <c r="G22" s="1" vm="621">
        <f ca="1"/>
        <v>14.457599999999999</v>
      </c>
      <c r="H22" s="1" vm="622">
        <f ca="1"/>
        <v>37.81</v>
      </c>
      <c r="I22" s="1" vm="623">
        <f ca="1"/>
        <v>95.89</v>
      </c>
      <c r="J22" s="1" vm="624">
        <f ca="1"/>
        <v>159.31</v>
      </c>
      <c r="K22" s="1" vm="625">
        <f ca="1"/>
        <v>31.284400000000002</v>
      </c>
      <c r="L22" s="1" vm="626">
        <f ca="1"/>
        <v>198.25</v>
      </c>
      <c r="M22" s="1" vm="627">
        <f ca="1"/>
        <v>329.69</v>
      </c>
      <c r="N22" s="1" vm="628">
        <f ca="1"/>
        <v>116.32</v>
      </c>
      <c r="O22" s="1" vm="629">
        <f ca="1"/>
        <v>119.76009999999999</v>
      </c>
      <c r="P22" s="1" vm="630">
        <f ca="1"/>
        <v>96.93</v>
      </c>
      <c r="Q22" s="1" vm="631">
        <f ca="1"/>
        <v>97.62</v>
      </c>
      <c r="R22" s="1" vm="632">
        <f ca="1"/>
        <v>130.79</v>
      </c>
      <c r="S22" s="1" vm="633">
        <f ca="1"/>
        <v>162.51</v>
      </c>
      <c r="T22" s="1" vm="634">
        <f ca="1"/>
        <v>300.94</v>
      </c>
      <c r="U22" s="1" vm="635">
        <f ca="1"/>
        <v>115.36</v>
      </c>
      <c r="V22" s="1" vm="636">
        <f ca="1"/>
        <v>99.99</v>
      </c>
      <c r="W22" s="1" vm="637">
        <f ca="1"/>
        <v>18.78</v>
      </c>
      <c r="X22" s="1" vm="638">
        <f ca="1"/>
        <v>46.44</v>
      </c>
      <c r="Y22" s="1" vm="639">
        <f ca="1"/>
        <v>50.51</v>
      </c>
      <c r="Z22" s="1" vm="640">
        <f ca="1"/>
        <v>353.79</v>
      </c>
      <c r="AA22" s="1" vm="641">
        <f ca="1"/>
        <v>280.74</v>
      </c>
      <c r="AB22" s="1" vm="642">
        <f ca="1"/>
        <v>122.54</v>
      </c>
      <c r="AC22" s="1" vm="643">
        <f ca="1"/>
        <v>44.016199999999998</v>
      </c>
      <c r="AD22" s="1" vm="644">
        <f ca="1"/>
        <v>64.17</v>
      </c>
      <c r="AE22" s="1" vm="645">
        <f ca="1"/>
        <v>263.37</v>
      </c>
      <c r="AF22" s="1" vm="646">
        <f ca="1"/>
        <v>414.28</v>
      </c>
    </row>
    <row r="23" spans="1:32" x14ac:dyDescent="0.25">
      <c r="A23" s="20">
        <f t="shared" ca="1" si="0"/>
        <v>44774</v>
      </c>
      <c r="B23" s="1" vm="647">
        <f ca="1"/>
        <v>275.61</v>
      </c>
      <c r="C23" s="1" vm="648">
        <f ca="1"/>
        <v>40.85</v>
      </c>
      <c r="D23" s="1" vm="649">
        <f ca="1"/>
        <v>15.093999999999999</v>
      </c>
      <c r="E23" s="1" vm="650">
        <f ca="1"/>
        <v>35.01</v>
      </c>
      <c r="F23" s="1" vm="651">
        <f ca="1"/>
        <v>162.93</v>
      </c>
      <c r="G23" s="1" vm="652">
        <f ca="1"/>
        <v>14.998900000000001</v>
      </c>
      <c r="H23" s="1" vm="653">
        <f ca="1"/>
        <v>38.57</v>
      </c>
      <c r="I23" s="1" vm="654">
        <f ca="1"/>
        <v>80.83</v>
      </c>
      <c r="J23" s="1" vm="655">
        <f ca="1"/>
        <v>160.25</v>
      </c>
      <c r="K23" s="1" vm="656">
        <f ca="1"/>
        <v>31.936</v>
      </c>
      <c r="L23" s="1" vm="657">
        <f ca="1"/>
        <v>184.71</v>
      </c>
      <c r="M23" s="1" vm="658">
        <f ca="1"/>
        <v>301.23</v>
      </c>
      <c r="N23" s="1" vm="659">
        <f ca="1"/>
        <v>108.22</v>
      </c>
      <c r="O23" s="1" vm="660">
        <f ca="1"/>
        <v>103.9665</v>
      </c>
      <c r="P23" s="1" vm="661">
        <f ca="1"/>
        <v>95.59</v>
      </c>
      <c r="Q23" s="1" vm="662">
        <f ca="1"/>
        <v>88.49</v>
      </c>
      <c r="R23" s="1" vm="663">
        <f ca="1"/>
        <v>128.44999999999999</v>
      </c>
      <c r="S23" s="1" vm="664">
        <f ca="1"/>
        <v>157.22</v>
      </c>
      <c r="T23" s="1" vm="665">
        <f ca="1"/>
        <v>288.42</v>
      </c>
      <c r="U23" s="1" vm="666">
        <f ca="1"/>
        <v>113.73</v>
      </c>
      <c r="V23" s="1" vm="667">
        <f ca="1"/>
        <v>95.75</v>
      </c>
      <c r="W23" s="1" vm="668">
        <f ca="1"/>
        <v>17.54</v>
      </c>
      <c r="X23" s="1" vm="669">
        <f ca="1"/>
        <v>47.94</v>
      </c>
      <c r="Y23" s="1" vm="670">
        <f ca="1"/>
        <v>45.23</v>
      </c>
      <c r="Z23" s="1" vm="671">
        <f ca="1"/>
        <v>324.37</v>
      </c>
      <c r="AA23" s="1" vm="672">
        <f ca="1"/>
        <v>261.47000000000003</v>
      </c>
      <c r="AB23" s="1" vm="673">
        <f ca="1"/>
        <v>111.24</v>
      </c>
      <c r="AC23" s="1" vm="674">
        <f ca="1"/>
        <v>44.182899999999997</v>
      </c>
      <c r="AD23" s="1" vm="675">
        <f ca="1"/>
        <v>61.71</v>
      </c>
      <c r="AE23" s="1" vm="676">
        <f ca="1"/>
        <v>252.28</v>
      </c>
      <c r="AF23" s="1" vm="677">
        <f ca="1"/>
        <v>397.18</v>
      </c>
    </row>
    <row r="24" spans="1:32" x14ac:dyDescent="0.25">
      <c r="A24" s="20">
        <f t="shared" ca="1" si="0"/>
        <v>44805</v>
      </c>
      <c r="B24" s="1" vm="678">
        <f ca="1"/>
        <v>265.25</v>
      </c>
      <c r="C24" s="1" vm="679">
        <f ca="1"/>
        <v>37.9</v>
      </c>
      <c r="D24" s="1" vm="680">
        <f ca="1"/>
        <v>12.138999999999999</v>
      </c>
      <c r="E24" s="1" vm="681">
        <f ca="1"/>
        <v>32.53</v>
      </c>
      <c r="F24" s="1" vm="682">
        <f ca="1"/>
        <v>135.68</v>
      </c>
      <c r="G24" s="1" vm="683">
        <f ca="1"/>
        <v>11.0228</v>
      </c>
      <c r="H24" s="1" vm="684">
        <f ca="1"/>
        <v>34.880000000000003</v>
      </c>
      <c r="I24" s="1" vm="685">
        <f ca="1"/>
        <v>70.010000000000005</v>
      </c>
      <c r="J24" s="1" vm="686">
        <f ca="1"/>
        <v>121.08</v>
      </c>
      <c r="K24" s="1" vm="687">
        <f ca="1"/>
        <v>30.055199999999999</v>
      </c>
      <c r="L24" s="1" vm="688">
        <f ca="1"/>
        <v>164.08</v>
      </c>
      <c r="M24" s="1" vm="689">
        <f ca="1"/>
        <v>323.35000000000002</v>
      </c>
      <c r="N24" s="1" vm="690">
        <f ca="1"/>
        <v>95.65</v>
      </c>
      <c r="O24" s="1" vm="691">
        <f ca="1"/>
        <v>92.386799999999994</v>
      </c>
      <c r="P24" s="1" vm="692">
        <f ca="1"/>
        <v>87.31</v>
      </c>
      <c r="Q24" s="1" vm="693">
        <f ca="1"/>
        <v>80.31</v>
      </c>
      <c r="R24" s="1" vm="694">
        <f ca="1"/>
        <v>118.81</v>
      </c>
      <c r="S24" s="1" vm="695">
        <f ca="1"/>
        <v>138.19999999999999</v>
      </c>
      <c r="T24" s="1" vm="696">
        <f ca="1"/>
        <v>275.94</v>
      </c>
      <c r="U24" s="1" vm="697">
        <f ca="1"/>
        <v>104.5</v>
      </c>
      <c r="V24" s="1" vm="698">
        <f ca="1"/>
        <v>85.78</v>
      </c>
      <c r="W24" s="1" vm="699">
        <f ca="1"/>
        <v>15.34</v>
      </c>
      <c r="X24" s="1" vm="700">
        <f ca="1"/>
        <v>43.75</v>
      </c>
      <c r="Y24" s="1" vm="701">
        <f ca="1"/>
        <v>43.76</v>
      </c>
      <c r="Z24" s="1" vm="702">
        <f ca="1"/>
        <v>284.33999999999997</v>
      </c>
      <c r="AA24" s="1" vm="703">
        <f ca="1"/>
        <v>232.9</v>
      </c>
      <c r="AB24" s="1" vm="704">
        <f ca="1"/>
        <v>106.34</v>
      </c>
      <c r="AC24" s="1" vm="705">
        <f ca="1"/>
        <v>43.232900000000001</v>
      </c>
      <c r="AD24" s="1" vm="706">
        <f ca="1"/>
        <v>56.02</v>
      </c>
      <c r="AE24" s="1" vm="707">
        <f ca="1"/>
        <v>230.74</v>
      </c>
      <c r="AF24" s="1" vm="708">
        <f ca="1"/>
        <v>358.65</v>
      </c>
    </row>
    <row r="25" spans="1:32" x14ac:dyDescent="0.25">
      <c r="A25" s="20">
        <f t="shared" ca="1" si="0"/>
        <v>44835</v>
      </c>
      <c r="B25" s="1" vm="709">
        <f ca="1"/>
        <v>227.54</v>
      </c>
      <c r="C25" s="1" vm="710">
        <f ca="1"/>
        <v>53.38</v>
      </c>
      <c r="D25" s="1" vm="711">
        <f ca="1"/>
        <v>13.497</v>
      </c>
      <c r="E25" s="1" vm="712">
        <f ca="1"/>
        <v>43.08</v>
      </c>
      <c r="F25" s="1" vm="713">
        <f ca="1"/>
        <v>93.16</v>
      </c>
      <c r="G25" s="1" vm="714">
        <f ca="1"/>
        <v>13.1585</v>
      </c>
      <c r="H25" s="1" vm="715">
        <f ca="1"/>
        <v>43</v>
      </c>
      <c r="I25" s="1" vm="716">
        <f ca="1"/>
        <v>72.63</v>
      </c>
      <c r="J25" s="1" vm="717">
        <f ca="1"/>
        <v>142.51</v>
      </c>
      <c r="K25" s="1" vm="718">
        <f ca="1"/>
        <v>29.9666</v>
      </c>
      <c r="L25" s="1" vm="719">
        <f ca="1"/>
        <v>216.46</v>
      </c>
      <c r="M25" s="1" vm="720">
        <f ca="1"/>
        <v>362.09</v>
      </c>
      <c r="N25" s="1" vm="721">
        <f ca="1"/>
        <v>94.51</v>
      </c>
      <c r="O25" s="1" vm="722">
        <f ca="1"/>
        <v>105.1705</v>
      </c>
      <c r="P25" s="1" vm="723">
        <f ca="1"/>
        <v>110.81</v>
      </c>
      <c r="Q25" s="1" vm="724">
        <f ca="1"/>
        <v>88.04</v>
      </c>
      <c r="R25" s="1" vm="725">
        <f ca="1"/>
        <v>138.29</v>
      </c>
      <c r="S25" s="1" vm="726">
        <f ca="1"/>
        <v>153.34</v>
      </c>
      <c r="T25" s="1" vm="727">
        <f ca="1"/>
        <v>296.13</v>
      </c>
      <c r="U25" s="1" vm="48">
        <f ca="1"/>
        <v>125.88</v>
      </c>
      <c r="V25" s="1" vm="728">
        <f ca="1"/>
        <v>105.19</v>
      </c>
      <c r="W25" s="1" vm="729">
        <f ca="1"/>
        <v>18.23</v>
      </c>
      <c r="X25" s="1" vm="730">
        <f ca="1"/>
        <v>47.29</v>
      </c>
      <c r="Y25" s="1" vm="731">
        <f ca="1"/>
        <v>46.55</v>
      </c>
      <c r="Z25" s="1" vm="732">
        <f ca="1"/>
        <v>328.18</v>
      </c>
      <c r="AA25" s="1" vm="733">
        <f ca="1"/>
        <v>232.13</v>
      </c>
      <c r="AB25" s="1" vm="734">
        <f ca="1"/>
        <v>118.25</v>
      </c>
      <c r="AC25" s="1" vm="735">
        <f ca="1"/>
        <v>47.442900000000002</v>
      </c>
      <c r="AD25" s="1" vm="736">
        <f ca="1"/>
        <v>59.85</v>
      </c>
      <c r="AE25" s="1" vm="737">
        <f ca="1"/>
        <v>272.66000000000003</v>
      </c>
      <c r="AF25" s="1" vm="738">
        <f ca="1"/>
        <v>387.79</v>
      </c>
    </row>
    <row r="26" spans="1:32" x14ac:dyDescent="0.25">
      <c r="A26" s="20">
        <f t="shared" ca="1" si="0"/>
        <v>44866</v>
      </c>
      <c r="B26" s="1" vm="739">
        <f ca="1"/>
        <v>194.7</v>
      </c>
      <c r="C26" s="1" vm="740">
        <f ca="1"/>
        <v>59.93</v>
      </c>
      <c r="D26" s="1" vm="741">
        <f ca="1"/>
        <v>16.922999999999998</v>
      </c>
      <c r="E26" s="1" vm="742">
        <f ca="1"/>
        <v>44.17</v>
      </c>
      <c r="F26" s="1" vm="743">
        <f ca="1"/>
        <v>118.1</v>
      </c>
      <c r="G26" s="1" vm="744">
        <f ca="1"/>
        <v>13.680099999999999</v>
      </c>
      <c r="H26" s="1" vm="745">
        <f ca="1"/>
        <v>47.13</v>
      </c>
      <c r="I26" s="1" vm="746">
        <f ca="1"/>
        <v>83.26</v>
      </c>
      <c r="J26" s="1" vm="747">
        <f ca="1"/>
        <v>178.88</v>
      </c>
      <c r="K26" s="1" vm="748">
        <f ca="1"/>
        <v>32.539200000000001</v>
      </c>
      <c r="L26" s="1" vm="749">
        <f ca="1"/>
        <v>236.41</v>
      </c>
      <c r="M26" s="1" vm="750">
        <f ca="1"/>
        <v>371.08</v>
      </c>
      <c r="N26" s="1" vm="751">
        <f ca="1"/>
        <v>100.99</v>
      </c>
      <c r="O26" s="1" vm="752">
        <f ca="1"/>
        <v>105.321</v>
      </c>
      <c r="P26" s="1" vm="753">
        <f ca="1"/>
        <v>111.34</v>
      </c>
      <c r="Q26" s="1" vm="754">
        <f ca="1"/>
        <v>92.99</v>
      </c>
      <c r="R26" s="1" vm="755">
        <f ca="1"/>
        <v>148.9</v>
      </c>
      <c r="S26" s="1" vm="756">
        <f ca="1"/>
        <v>148.03</v>
      </c>
      <c r="T26" s="1" vm="757">
        <f ca="1"/>
        <v>323.99</v>
      </c>
      <c r="U26" s="1" vm="758">
        <f ca="1"/>
        <v>138.18</v>
      </c>
      <c r="V26" s="1" vm="759">
        <f ca="1"/>
        <v>108.03</v>
      </c>
      <c r="W26" s="1" vm="760">
        <f ca="1"/>
        <v>19.28</v>
      </c>
      <c r="X26" s="1" vm="761">
        <f ca="1"/>
        <v>49.19</v>
      </c>
      <c r="Y26" s="1" vm="762">
        <f ca="1"/>
        <v>50.13</v>
      </c>
      <c r="Z26" s="1" vm="763">
        <f ca="1"/>
        <v>356.4</v>
      </c>
      <c r="AA26" s="1" vm="764">
        <f ca="1"/>
        <v>255.14</v>
      </c>
      <c r="AB26" s="1" vm="765">
        <f ca="1"/>
        <v>128.66</v>
      </c>
      <c r="AC26" s="1" vm="766">
        <f ca="1"/>
        <v>50.806199999999997</v>
      </c>
      <c r="AD26" s="1" vm="767">
        <f ca="1"/>
        <v>63.61</v>
      </c>
      <c r="AE26" s="1" vm="768">
        <f ca="1"/>
        <v>272.79000000000002</v>
      </c>
      <c r="AF26" s="1" vm="769">
        <f ca="1"/>
        <v>409.32</v>
      </c>
    </row>
    <row r="27" spans="1:32" x14ac:dyDescent="0.25">
      <c r="A27" s="20">
        <f t="shared" ca="1" si="0"/>
        <v>44896</v>
      </c>
      <c r="B27" s="1" vm="770">
        <f ca="1"/>
        <v>123.18</v>
      </c>
      <c r="C27" s="1" vm="771">
        <f ca="1"/>
        <v>49.43</v>
      </c>
      <c r="D27" s="1" vm="772">
        <f ca="1"/>
        <v>14.614000000000001</v>
      </c>
      <c r="E27" s="1" vm="773">
        <f ca="1"/>
        <v>37.700000000000003</v>
      </c>
      <c r="F27" s="1" vm="774">
        <f ca="1"/>
        <v>120.34</v>
      </c>
      <c r="G27" s="1" vm="775">
        <f ca="1"/>
        <v>11.446</v>
      </c>
      <c r="H27" s="1" vm="776">
        <f ca="1"/>
        <v>41.6</v>
      </c>
      <c r="I27" s="1" vm="777">
        <f ca="1"/>
        <v>82.31</v>
      </c>
      <c r="J27" s="1" vm="778">
        <f ca="1"/>
        <v>190.49</v>
      </c>
      <c r="K27" s="1" vm="779">
        <f ca="1"/>
        <v>27.7498</v>
      </c>
      <c r="L27" s="1" vm="225">
        <f ca="1"/>
        <v>239.56</v>
      </c>
      <c r="M27" s="1" vm="780">
        <f ca="1"/>
        <v>365.84</v>
      </c>
      <c r="N27" s="1" vm="781">
        <f ca="1"/>
        <v>88.23</v>
      </c>
      <c r="O27" s="1" vm="782">
        <f ca="1"/>
        <v>100.2627</v>
      </c>
      <c r="P27" s="1" vm="783">
        <f ca="1"/>
        <v>110.3</v>
      </c>
      <c r="Q27" s="1" vm="784">
        <f ca="1"/>
        <v>92.29</v>
      </c>
      <c r="R27" s="1" vm="785">
        <f ca="1"/>
        <v>140.88999999999999</v>
      </c>
      <c r="S27" s="1" vm="786">
        <f ca="1"/>
        <v>129.93</v>
      </c>
      <c r="T27" s="1" vm="787">
        <f ca="1"/>
        <v>315.86</v>
      </c>
      <c r="U27" s="1" vm="788">
        <f ca="1"/>
        <v>134.1</v>
      </c>
      <c r="V27" s="1" vm="789">
        <f ca="1"/>
        <v>99.46</v>
      </c>
      <c r="W27" s="1" vm="790">
        <f ca="1"/>
        <v>18.41</v>
      </c>
      <c r="X27" s="1" vm="791">
        <f ca="1"/>
        <v>44.58</v>
      </c>
      <c r="Y27" s="1" vm="792">
        <f ca="1"/>
        <v>51.24</v>
      </c>
      <c r="Z27" s="1" vm="793">
        <f ca="1"/>
        <v>347.73</v>
      </c>
      <c r="AA27" s="1" vm="794">
        <f ca="1"/>
        <v>239.82</v>
      </c>
      <c r="AB27" s="1" vm="795">
        <f ca="1"/>
        <v>128.08000000000001</v>
      </c>
      <c r="AC27" s="1" vm="796">
        <f ca="1"/>
        <v>47.262900000000002</v>
      </c>
      <c r="AD27" s="1" vm="767">
        <f ca="1"/>
        <v>63.61</v>
      </c>
      <c r="AE27" s="1" vm="797">
        <f ca="1"/>
        <v>263.52999999999997</v>
      </c>
      <c r="AF27" s="1" vm="798">
        <f ca="1"/>
        <v>384.21</v>
      </c>
    </row>
    <row r="28" spans="1:32" x14ac:dyDescent="0.25">
      <c r="A28" s="20">
        <f t="shared" ca="1" si="0"/>
        <v>44927</v>
      </c>
      <c r="B28" s="1" vm="799">
        <f ca="1"/>
        <v>173.22</v>
      </c>
      <c r="C28" s="1" vm="800">
        <f ca="1"/>
        <v>64.94</v>
      </c>
      <c r="D28" s="1" vm="801">
        <f ca="1"/>
        <v>19.536999999999999</v>
      </c>
      <c r="E28" s="1" vm="802">
        <f ca="1"/>
        <v>48.96</v>
      </c>
      <c r="F28" s="1" vm="803">
        <f ca="1"/>
        <v>148.97</v>
      </c>
      <c r="G28" s="1" vm="804">
        <f ca="1"/>
        <v>13.2963</v>
      </c>
      <c r="H28" s="1" vm="300">
        <f ca="1"/>
        <v>46.03</v>
      </c>
      <c r="I28" s="1" vm="805">
        <f ca="1"/>
        <v>89.69</v>
      </c>
      <c r="J28" s="1" vm="806">
        <f ca="1"/>
        <v>213</v>
      </c>
      <c r="K28" s="1" vm="807">
        <f ca="1"/>
        <v>32.927599999999998</v>
      </c>
      <c r="L28" s="1" vm="808">
        <f ca="1"/>
        <v>252.29</v>
      </c>
      <c r="M28" s="1" vm="809">
        <f ca="1"/>
        <v>344.15</v>
      </c>
      <c r="N28" s="1" vm="810">
        <f ca="1"/>
        <v>98.84</v>
      </c>
      <c r="O28" s="1" vm="811">
        <f ca="1"/>
        <v>96.216099999999997</v>
      </c>
      <c r="P28" s="1" vm="812">
        <f ca="1"/>
        <v>116.01</v>
      </c>
      <c r="Q28" s="1" vm="813">
        <f ca="1"/>
        <v>98.88</v>
      </c>
      <c r="R28" s="1" vm="814">
        <f ca="1"/>
        <v>134.72999999999999</v>
      </c>
      <c r="S28" s="1" vm="815">
        <f ca="1"/>
        <v>144.29</v>
      </c>
      <c r="T28" s="1" vm="816">
        <f ca="1"/>
        <v>324.17</v>
      </c>
      <c r="U28" s="1" vm="817">
        <f ca="1"/>
        <v>139.96</v>
      </c>
      <c r="V28" s="1" vm="818">
        <f ca="1"/>
        <v>104.94</v>
      </c>
      <c r="W28" s="1" vm="819">
        <f ca="1"/>
        <v>20.37</v>
      </c>
      <c r="X28" s="1" vm="820">
        <f ca="1"/>
        <v>44.63</v>
      </c>
      <c r="Y28" s="1" vm="821">
        <f ca="1"/>
        <v>44.16</v>
      </c>
      <c r="Z28" s="1" vm="822">
        <f ca="1"/>
        <v>370.6</v>
      </c>
      <c r="AA28" s="1" vm="823">
        <f ca="1"/>
        <v>247.81</v>
      </c>
      <c r="AB28" s="1" vm="824">
        <f ca="1"/>
        <v>130.51</v>
      </c>
      <c r="AC28" s="1" vm="825">
        <f ca="1"/>
        <v>47.956200000000003</v>
      </c>
      <c r="AD28" s="1" vm="826">
        <f ca="1"/>
        <v>61.32</v>
      </c>
      <c r="AE28" s="1" vm="827">
        <f ca="1"/>
        <v>267.39999999999998</v>
      </c>
      <c r="AF28" s="1" vm="828">
        <f ca="1"/>
        <v>408.31</v>
      </c>
    </row>
    <row r="29" spans="1:32" x14ac:dyDescent="0.25">
      <c r="A29" s="20">
        <f t="shared" ca="1" si="0"/>
        <v>44958</v>
      </c>
      <c r="B29" s="1" vm="829">
        <f ca="1"/>
        <v>205.71</v>
      </c>
      <c r="C29" s="1" vm="830">
        <f ca="1"/>
        <v>70.64</v>
      </c>
      <c r="D29" s="1" vm="831">
        <f ca="1"/>
        <v>23.216000000000001</v>
      </c>
      <c r="E29" s="1" vm="832">
        <f ca="1"/>
        <v>51.96</v>
      </c>
      <c r="F29" s="1" vm="833">
        <f ca="1"/>
        <v>174.94</v>
      </c>
      <c r="G29" s="1" vm="834">
        <f ca="1"/>
        <v>11.879099999999999</v>
      </c>
      <c r="H29" s="1" vm="835">
        <f ca="1"/>
        <v>47.55</v>
      </c>
      <c r="I29" s="1" vm="836">
        <f ca="1"/>
        <v>83.95</v>
      </c>
      <c r="J29" s="1" vm="837">
        <f ca="1"/>
        <v>201.55</v>
      </c>
      <c r="K29" s="1" vm="838">
        <f ca="1"/>
        <v>29.8216</v>
      </c>
      <c r="L29" s="1" vm="839">
        <f ca="1"/>
        <v>239.55</v>
      </c>
      <c r="M29" s="1" vm="840">
        <f ca="1"/>
        <v>311.22000000000003</v>
      </c>
      <c r="N29" s="1" vm="841">
        <f ca="1"/>
        <v>90.06</v>
      </c>
      <c r="O29" s="1" vm="842">
        <f ca="1"/>
        <v>90.079300000000003</v>
      </c>
      <c r="P29" s="1" vm="843">
        <f ca="1"/>
        <v>109.91</v>
      </c>
      <c r="Q29" s="1" vm="844">
        <f ca="1"/>
        <v>98.13</v>
      </c>
      <c r="R29" s="1" vm="845">
        <f ca="1"/>
        <v>129.30000000000001</v>
      </c>
      <c r="S29" s="1" vm="846">
        <f ca="1"/>
        <v>147.41</v>
      </c>
      <c r="T29" s="1" vm="847">
        <f ca="1"/>
        <v>296.54000000000002</v>
      </c>
      <c r="U29" s="1" vm="848">
        <f ca="1"/>
        <v>143.35</v>
      </c>
      <c r="V29" s="1" vm="849">
        <f ca="1"/>
        <v>100</v>
      </c>
      <c r="W29" s="1" vm="850">
        <f ca="1"/>
        <v>18.91</v>
      </c>
      <c r="X29" s="1" vm="851">
        <f ca="1"/>
        <v>43.14</v>
      </c>
      <c r="Y29" s="1" vm="852">
        <f ca="1"/>
        <v>40.57</v>
      </c>
      <c r="Z29" s="1" vm="853">
        <f ca="1"/>
        <v>355.29</v>
      </c>
      <c r="AA29" s="1" vm="854">
        <f ca="1"/>
        <v>249.42</v>
      </c>
      <c r="AB29" s="1" vm="855">
        <f ca="1"/>
        <v>127.16</v>
      </c>
      <c r="AC29" s="1" vm="856">
        <f ca="1"/>
        <v>47.376199999999997</v>
      </c>
      <c r="AD29" s="1" vm="857">
        <f ca="1"/>
        <v>59.51</v>
      </c>
      <c r="AE29" s="1" vm="858">
        <f ca="1"/>
        <v>263.91000000000003</v>
      </c>
      <c r="AF29" s="1" vm="859">
        <f ca="1"/>
        <v>397.97</v>
      </c>
    </row>
    <row r="30" spans="1:32" x14ac:dyDescent="0.25">
      <c r="A30" s="20">
        <f t="shared" ca="1" si="0"/>
        <v>44986</v>
      </c>
      <c r="B30" s="1" vm="860">
        <f ca="1"/>
        <v>207.46</v>
      </c>
      <c r="C30" s="1" vm="861">
        <f ca="1"/>
        <v>65.3</v>
      </c>
      <c r="D30" s="1" vm="862">
        <f ca="1"/>
        <v>27.777000000000001</v>
      </c>
      <c r="E30" s="1" vm="863">
        <f ca="1"/>
        <v>44.25</v>
      </c>
      <c r="F30" s="1" vm="864">
        <f ca="1"/>
        <v>211.94</v>
      </c>
      <c r="G30" s="1" vm="865">
        <f ca="1"/>
        <v>12.400700000000001</v>
      </c>
      <c r="H30" s="1" vm="866">
        <f ca="1"/>
        <v>37.97</v>
      </c>
      <c r="I30" s="1" vm="867">
        <f ca="1"/>
        <v>74.930000000000007</v>
      </c>
      <c r="J30" s="1" vm="868">
        <f ca="1"/>
        <v>212.43</v>
      </c>
      <c r="K30" s="1" vm="869">
        <f ca="1"/>
        <v>34.165799999999997</v>
      </c>
      <c r="L30" s="1" vm="870">
        <f ca="1"/>
        <v>228.84</v>
      </c>
      <c r="M30" s="1" vm="871">
        <f ca="1"/>
        <v>343.42</v>
      </c>
      <c r="N30" s="1" vm="872">
        <f ca="1"/>
        <v>103.73</v>
      </c>
      <c r="O30" s="1" vm="873">
        <f ca="1"/>
        <v>87.880399999999995</v>
      </c>
      <c r="P30" s="1" vm="874">
        <f ca="1"/>
        <v>109.66</v>
      </c>
      <c r="Q30" s="1" vm="875">
        <f ca="1"/>
        <v>100.92</v>
      </c>
      <c r="R30" s="1" vm="876">
        <f ca="1"/>
        <v>131.09</v>
      </c>
      <c r="S30" s="1" vm="877">
        <f ca="1"/>
        <v>164.9</v>
      </c>
      <c r="T30" s="1" vm="878">
        <f ca="1"/>
        <v>295.12</v>
      </c>
      <c r="U30" s="1" vm="879">
        <f ca="1"/>
        <v>130.31</v>
      </c>
      <c r="V30" s="1" vm="880">
        <f ca="1"/>
        <v>82.74</v>
      </c>
      <c r="W30" s="1" vm="881">
        <f ca="1"/>
        <v>19.25</v>
      </c>
      <c r="X30" s="1" vm="882">
        <f ca="1"/>
        <v>49.37</v>
      </c>
      <c r="Y30" s="1" vm="883">
        <f ca="1"/>
        <v>40.799999999999997</v>
      </c>
      <c r="Z30" s="1" vm="884">
        <f ca="1"/>
        <v>363.41</v>
      </c>
      <c r="AA30" s="1" vm="885">
        <f ca="1"/>
        <v>288.3</v>
      </c>
      <c r="AB30" s="1" vm="886">
        <f ca="1"/>
        <v>132.08000000000001</v>
      </c>
      <c r="AC30" s="1" vm="887">
        <f ca="1"/>
        <v>49.149500000000003</v>
      </c>
      <c r="AD30" s="1" vm="888">
        <f ca="1"/>
        <v>62.03</v>
      </c>
      <c r="AE30" s="1" vm="889">
        <f ca="1"/>
        <v>279.61</v>
      </c>
      <c r="AF30" s="1" vm="890">
        <f ca="1"/>
        <v>411.08</v>
      </c>
    </row>
    <row r="31" spans="1:32" x14ac:dyDescent="0.25">
      <c r="A31" s="20">
        <f t="shared" ca="1" si="0"/>
        <v>45017</v>
      </c>
      <c r="B31" s="1" vm="891">
        <f ca="1"/>
        <v>164.31</v>
      </c>
      <c r="C31" s="1" vm="892">
        <f ca="1"/>
        <v>65.430000000000007</v>
      </c>
      <c r="D31" s="1" vm="893">
        <f ca="1"/>
        <v>27.748999999999999</v>
      </c>
      <c r="E31" s="1" vm="894">
        <f ca="1"/>
        <v>43.8</v>
      </c>
      <c r="F31" s="1" vm="895">
        <f ca="1"/>
        <v>240.32</v>
      </c>
      <c r="G31" s="1" vm="896">
        <f ca="1"/>
        <v>11.6921</v>
      </c>
      <c r="H31" s="1" vm="897">
        <f ca="1"/>
        <v>37.1</v>
      </c>
      <c r="I31" s="1" vm="898">
        <f ca="1"/>
        <v>74.790000000000006</v>
      </c>
      <c r="J31" s="1" vm="899">
        <f ca="1"/>
        <v>206.78</v>
      </c>
      <c r="K31" s="1" vm="900">
        <f ca="1"/>
        <v>41.352400000000003</v>
      </c>
      <c r="L31" s="1" vm="901">
        <f ca="1"/>
        <v>218.8</v>
      </c>
      <c r="M31" s="1" vm="902">
        <f ca="1"/>
        <v>395.86</v>
      </c>
      <c r="N31" s="1" vm="903">
        <f ca="1"/>
        <v>107.34</v>
      </c>
      <c r="O31" s="1" vm="904">
        <f ca="1"/>
        <v>88.808400000000006</v>
      </c>
      <c r="P31" s="1" vm="905">
        <f ca="1"/>
        <v>118.34</v>
      </c>
      <c r="Q31" s="1" vm="906">
        <f ca="1"/>
        <v>98.17</v>
      </c>
      <c r="R31" s="1" vm="907">
        <f ca="1"/>
        <v>126.41</v>
      </c>
      <c r="S31" s="1" vm="908">
        <f ca="1"/>
        <v>169.68</v>
      </c>
      <c r="T31" s="1" vm="909">
        <f ca="1"/>
        <v>300.54000000000002</v>
      </c>
      <c r="U31" s="1" vm="910">
        <f ca="1"/>
        <v>138.24</v>
      </c>
      <c r="V31" s="1" vm="911">
        <f ca="1"/>
        <v>87</v>
      </c>
      <c r="W31" s="1" vm="912">
        <f ca="1"/>
        <v>17.670000000000002</v>
      </c>
      <c r="X31" s="1" vm="913">
        <f ca="1"/>
        <v>48.63</v>
      </c>
      <c r="Y31" s="1" vm="914">
        <f ca="1"/>
        <v>38.89</v>
      </c>
      <c r="Z31" s="1" vm="915">
        <f ca="1"/>
        <v>380.03</v>
      </c>
      <c r="AA31" s="1" vm="916">
        <f ca="1"/>
        <v>307.26</v>
      </c>
      <c r="AB31" s="1" vm="917">
        <f ca="1"/>
        <v>140.58000000000001</v>
      </c>
      <c r="AC31" s="1" vm="918">
        <f ca="1"/>
        <v>50.322800000000001</v>
      </c>
      <c r="AD31" s="1" vm="919">
        <f ca="1"/>
        <v>64.150000000000006</v>
      </c>
      <c r="AE31" s="1" vm="920">
        <f ca="1"/>
        <v>295.75</v>
      </c>
      <c r="AF31" s="1" vm="921">
        <f ca="1"/>
        <v>417.66</v>
      </c>
    </row>
    <row r="32" spans="1:32" x14ac:dyDescent="0.25">
      <c r="A32" s="20">
        <f t="shared" ca="1" si="0"/>
        <v>45047</v>
      </c>
      <c r="B32" s="1" vm="922">
        <f ca="1"/>
        <v>203.93</v>
      </c>
      <c r="C32" s="1" vm="923">
        <f ca="1"/>
        <v>80.97</v>
      </c>
      <c r="D32" s="1" vm="924">
        <f ca="1"/>
        <v>37.834000000000003</v>
      </c>
      <c r="E32" s="1" vm="925">
        <f ca="1"/>
        <v>47.465000000000003</v>
      </c>
      <c r="F32" s="1" vm="926">
        <f ca="1"/>
        <v>264.72000000000003</v>
      </c>
      <c r="G32" s="1" vm="927">
        <f ca="1"/>
        <v>11.8102</v>
      </c>
      <c r="H32" s="1" vm="928">
        <f ca="1"/>
        <v>31.11</v>
      </c>
      <c r="I32" s="1" vm="929">
        <f ca="1"/>
        <v>70.11</v>
      </c>
      <c r="J32" s="1" vm="930">
        <f ca="1"/>
        <v>205.7</v>
      </c>
      <c r="K32" s="1" vm="931">
        <f ca="1"/>
        <v>41.529800000000002</v>
      </c>
      <c r="L32" s="1" vm="932">
        <f ca="1"/>
        <v>205.75</v>
      </c>
      <c r="M32" s="1" vm="933">
        <f ca="1"/>
        <v>429.46</v>
      </c>
      <c r="N32" s="1" vm="934">
        <f ca="1"/>
        <v>122.87</v>
      </c>
      <c r="O32" s="1" vm="935">
        <f ca="1"/>
        <v>78.014600000000002</v>
      </c>
      <c r="P32" s="1" vm="936">
        <f ca="1"/>
        <v>102.18</v>
      </c>
      <c r="Q32" s="1" vm="937">
        <f ca="1"/>
        <v>103.15</v>
      </c>
      <c r="R32" s="1" vm="938">
        <f ca="1"/>
        <v>128.59</v>
      </c>
      <c r="S32" s="1" vm="939">
        <f ca="1"/>
        <v>177.25</v>
      </c>
      <c r="T32" s="1" vm="940">
        <f ca="1"/>
        <v>283.45</v>
      </c>
      <c r="U32" s="1" vm="941">
        <f ca="1"/>
        <v>135.71</v>
      </c>
      <c r="V32" s="1" vm="942">
        <f ca="1"/>
        <v>78.69</v>
      </c>
      <c r="W32" s="1" vm="943">
        <f ca="1"/>
        <v>15.73</v>
      </c>
      <c r="X32" s="1" vm="944">
        <f ca="1"/>
        <v>45.33</v>
      </c>
      <c r="Y32" s="1" vm="945">
        <f ca="1"/>
        <v>38.020000000000003</v>
      </c>
      <c r="Z32" s="1" vm="946">
        <f ca="1"/>
        <v>365.02</v>
      </c>
      <c r="AA32" s="1" vm="947">
        <f ca="1"/>
        <v>328.39</v>
      </c>
      <c r="AB32" s="1" vm="948">
        <f ca="1"/>
        <v>128.69</v>
      </c>
      <c r="AC32" s="1" vm="949">
        <f ca="1"/>
        <v>48.956200000000003</v>
      </c>
      <c r="AD32" s="1" vm="950">
        <f ca="1"/>
        <v>59.66</v>
      </c>
      <c r="AE32" s="1" vm="951">
        <f ca="1"/>
        <v>285.11</v>
      </c>
      <c r="AF32" s="1" vm="952">
        <f ca="1"/>
        <v>419.43</v>
      </c>
    </row>
    <row r="33" spans="1:32" x14ac:dyDescent="0.25">
      <c r="A33" s="20">
        <f t="shared" ca="1" si="0"/>
        <v>45078</v>
      </c>
      <c r="B33" s="1" vm="953">
        <f ca="1"/>
        <v>261.77</v>
      </c>
      <c r="C33" s="1" vm="954">
        <f ca="1"/>
        <v>103.74</v>
      </c>
      <c r="D33" s="1" vm="955">
        <f ca="1"/>
        <v>42.302</v>
      </c>
      <c r="E33" s="1" vm="956">
        <f ca="1"/>
        <v>54.87</v>
      </c>
      <c r="F33" s="1" vm="957">
        <f ca="1"/>
        <v>286.98</v>
      </c>
      <c r="G33" s="1" vm="958">
        <f ca="1"/>
        <v>14.890599999999999</v>
      </c>
      <c r="H33" s="1" vm="959">
        <f ca="1"/>
        <v>35.21</v>
      </c>
      <c r="I33" s="1" vm="960">
        <f ca="1"/>
        <v>73.83</v>
      </c>
      <c r="J33" s="1" vm="961">
        <f ca="1"/>
        <v>211.16</v>
      </c>
      <c r="K33" s="1" vm="962">
        <f ca="1"/>
        <v>42.78</v>
      </c>
      <c r="L33" s="1" vm="963">
        <f ca="1"/>
        <v>246.05</v>
      </c>
      <c r="M33" s="1" vm="964">
        <f ca="1"/>
        <v>468.98</v>
      </c>
      <c r="N33" s="1" vm="965">
        <f ca="1"/>
        <v>119.7</v>
      </c>
      <c r="O33" s="1" vm="966">
        <f ca="1"/>
        <v>83.683199999999999</v>
      </c>
      <c r="P33" s="1" vm="967">
        <f ca="1"/>
        <v>107.25</v>
      </c>
      <c r="Q33" s="1" vm="968">
        <f ca="1"/>
        <v>104.29</v>
      </c>
      <c r="R33" s="1" vm="969">
        <f ca="1"/>
        <v>133.81</v>
      </c>
      <c r="S33" s="1" vm="970">
        <f ca="1"/>
        <v>193.97</v>
      </c>
      <c r="T33" s="1" vm="971">
        <f ca="1"/>
        <v>310.64</v>
      </c>
      <c r="U33" s="1" vm="972">
        <f ca="1"/>
        <v>145.44</v>
      </c>
      <c r="V33" s="1" vm="973">
        <f ca="1"/>
        <v>88.22</v>
      </c>
      <c r="W33" s="1" vm="974">
        <f ca="1"/>
        <v>15.95</v>
      </c>
      <c r="X33" s="1" vm="975">
        <f ca="1"/>
        <v>47</v>
      </c>
      <c r="Y33" s="1" vm="976">
        <f ca="1"/>
        <v>36.68</v>
      </c>
      <c r="Z33" s="1" vm="977">
        <f ca="1"/>
        <v>393.3</v>
      </c>
      <c r="AA33" s="1" vm="978">
        <f ca="1"/>
        <v>340.54</v>
      </c>
      <c r="AB33" s="1" vm="979">
        <f ca="1"/>
        <v>138.55000000000001</v>
      </c>
      <c r="AC33" s="1" vm="980">
        <f ca="1"/>
        <v>52.392800000000001</v>
      </c>
      <c r="AD33" s="1" vm="981">
        <f ca="1"/>
        <v>60.22</v>
      </c>
      <c r="AE33" s="1" vm="982">
        <f ca="1"/>
        <v>298.41000000000003</v>
      </c>
      <c r="AF33" s="1" vm="983">
        <f ca="1"/>
        <v>445.71</v>
      </c>
    </row>
    <row r="34" spans="1:32" x14ac:dyDescent="0.25">
      <c r="A34" s="20">
        <f t="shared" ca="1" si="0"/>
        <v>45108</v>
      </c>
      <c r="B34" s="1" vm="984">
        <f ca="1"/>
        <v>267.43</v>
      </c>
      <c r="C34" s="1" vm="985">
        <f ca="1"/>
        <v>109.11</v>
      </c>
      <c r="D34" s="1" vm="986">
        <f ca="1"/>
        <v>46.728999999999999</v>
      </c>
      <c r="E34" s="1" vm="987">
        <f ca="1"/>
        <v>54.31</v>
      </c>
      <c r="F34" s="1" vm="988">
        <f ca="1"/>
        <v>318.60000000000002</v>
      </c>
      <c r="G34" s="1" vm="989">
        <f ca="1"/>
        <v>13.000999999999999</v>
      </c>
      <c r="H34" s="1" vm="990">
        <f ca="1"/>
        <v>38.61</v>
      </c>
      <c r="I34" s="1" vm="991">
        <f ca="1"/>
        <v>82.7</v>
      </c>
      <c r="J34" s="1" vm="992">
        <f ca="1"/>
        <v>238.85</v>
      </c>
      <c r="K34" s="1" vm="993">
        <f ca="1"/>
        <v>39.245600000000003</v>
      </c>
      <c r="L34" s="1" vm="994">
        <f ca="1"/>
        <v>265.17</v>
      </c>
      <c r="M34" s="1" vm="995">
        <f ca="1"/>
        <v>454.55</v>
      </c>
      <c r="N34" s="1" vm="996">
        <f ca="1"/>
        <v>132.72</v>
      </c>
      <c r="O34" s="1" vm="997">
        <f ca="1"/>
        <v>93.222899999999996</v>
      </c>
      <c r="P34" s="1" vm="998">
        <f ca="1"/>
        <v>107.24</v>
      </c>
      <c r="Q34" s="1" vm="999">
        <f ca="1"/>
        <v>105.89</v>
      </c>
      <c r="R34" s="1" vm="1000">
        <f ca="1"/>
        <v>144.18</v>
      </c>
      <c r="S34" s="1" vm="1001">
        <f ca="1"/>
        <v>196.45</v>
      </c>
      <c r="T34" s="1" vm="1002">
        <f ca="1"/>
        <v>333.84</v>
      </c>
      <c r="U34" s="1" vm="1003">
        <f ca="1"/>
        <v>157.96</v>
      </c>
      <c r="V34" s="1" vm="1004">
        <f ca="1"/>
        <v>96.49</v>
      </c>
      <c r="W34" s="1" vm="1005">
        <f ca="1"/>
        <v>14.52</v>
      </c>
      <c r="X34" s="1" vm="1006">
        <f ca="1"/>
        <v>48.64</v>
      </c>
      <c r="Y34" s="1" vm="1007">
        <f ca="1"/>
        <v>36.06</v>
      </c>
      <c r="Z34" s="1" vm="1008">
        <f ca="1"/>
        <v>394.28</v>
      </c>
      <c r="AA34" s="1" vm="1009">
        <f ca="1"/>
        <v>335.92</v>
      </c>
      <c r="AB34" s="1" vm="1010">
        <f ca="1"/>
        <v>137.66999999999999</v>
      </c>
      <c r="AC34" s="1" vm="1011">
        <f ca="1"/>
        <v>53.286099999999998</v>
      </c>
      <c r="AD34" s="1" vm="1012">
        <f ca="1"/>
        <v>61.93</v>
      </c>
      <c r="AE34" s="1" vm="1013">
        <f ca="1"/>
        <v>293.2</v>
      </c>
      <c r="AF34" s="1" vm="1014">
        <f ca="1"/>
        <v>460.18</v>
      </c>
    </row>
    <row r="35" spans="1:32" x14ac:dyDescent="0.25">
      <c r="A35" s="20">
        <f t="shared" ca="1" si="0"/>
        <v>45139</v>
      </c>
      <c r="B35" s="1" vm="1015">
        <f ca="1"/>
        <v>258.08</v>
      </c>
      <c r="C35" s="1" vm="1016">
        <f ca="1"/>
        <v>98.94</v>
      </c>
      <c r="D35" s="1" vm="1017">
        <f ca="1"/>
        <v>49.354999999999997</v>
      </c>
      <c r="E35" s="1" vm="1018">
        <f ca="1"/>
        <v>49.81</v>
      </c>
      <c r="F35" s="1" vm="1019">
        <f ca="1"/>
        <v>295.89</v>
      </c>
      <c r="G35" s="1" vm="1020">
        <f ca="1"/>
        <v>11.9381</v>
      </c>
      <c r="H35" s="1" vm="1021">
        <f ca="1"/>
        <v>33.75</v>
      </c>
      <c r="I35" s="1" vm="1022">
        <f ca="1"/>
        <v>75.7</v>
      </c>
      <c r="J35" s="1" vm="1023">
        <f ca="1"/>
        <v>224.03</v>
      </c>
      <c r="K35" s="1" vm="1024">
        <f ca="1"/>
        <v>38.532800000000002</v>
      </c>
      <c r="L35" s="1" vm="1025">
        <f ca="1"/>
        <v>281.13</v>
      </c>
      <c r="M35" s="1" vm="1026">
        <f ca="1"/>
        <v>554.20000000000005</v>
      </c>
      <c r="N35" s="1" vm="417">
        <f ca="1"/>
        <v>136.16999999999999</v>
      </c>
      <c r="O35" s="1" vm="1027">
        <f ca="1"/>
        <v>89.184700000000007</v>
      </c>
      <c r="P35" s="1" vm="1028">
        <f ca="1"/>
        <v>111.19</v>
      </c>
      <c r="Q35" s="1" vm="1029">
        <f ca="1"/>
        <v>106.02</v>
      </c>
      <c r="R35" s="1" vm="1030">
        <f ca="1"/>
        <v>146.83000000000001</v>
      </c>
      <c r="S35" s="1" vm="1031">
        <f ca="1"/>
        <v>187.87</v>
      </c>
      <c r="T35" s="1" vm="1032">
        <f ca="1"/>
        <v>330.3</v>
      </c>
      <c r="U35" s="1" vm="1033">
        <f ca="1"/>
        <v>146.33000000000001</v>
      </c>
      <c r="V35" s="1" vm="1034">
        <f ca="1"/>
        <v>94.67</v>
      </c>
      <c r="W35" s="1" vm="1035">
        <f ca="1"/>
        <v>14.79</v>
      </c>
      <c r="X35" s="1" vm="1036">
        <f ca="1"/>
        <v>46.39</v>
      </c>
      <c r="Y35" s="1" vm="1037">
        <f ca="1"/>
        <v>35.380000000000003</v>
      </c>
      <c r="Z35" s="1" vm="1038">
        <f ca="1"/>
        <v>412.64</v>
      </c>
      <c r="AA35" s="1" vm="1039">
        <f ca="1"/>
        <v>327.76</v>
      </c>
      <c r="AB35" s="1" vm="1040">
        <f ca="1"/>
        <v>129.38</v>
      </c>
      <c r="AC35" s="1" vm="1041">
        <f ca="1"/>
        <v>54.202800000000003</v>
      </c>
      <c r="AD35" s="1" vm="1042">
        <f ca="1"/>
        <v>59.83</v>
      </c>
      <c r="AE35" s="1" vm="1043">
        <f ca="1"/>
        <v>281.14999999999998</v>
      </c>
      <c r="AF35" s="1" vm="1044">
        <f ca="1"/>
        <v>452.69</v>
      </c>
    </row>
    <row r="36" spans="1:32" x14ac:dyDescent="0.25">
      <c r="A36" s="20">
        <f t="shared" ca="1" si="0"/>
        <v>45170</v>
      </c>
      <c r="B36" s="1" vm="1045">
        <f ca="1"/>
        <v>250.22</v>
      </c>
      <c r="C36" s="1" vm="1046">
        <f ca="1"/>
        <v>92.14</v>
      </c>
      <c r="D36" s="1" vm="1047">
        <f ca="1"/>
        <v>43.499000000000002</v>
      </c>
      <c r="E36" s="1" vm="1048">
        <f ca="1"/>
        <v>42.3</v>
      </c>
      <c r="F36" s="1" vm="1049">
        <f ca="1"/>
        <v>300.20999999999998</v>
      </c>
      <c r="G36" s="1" vm="1050">
        <f ca="1"/>
        <v>12.2235</v>
      </c>
      <c r="H36" s="1" vm="1051">
        <f ca="1"/>
        <v>33.06</v>
      </c>
      <c r="I36" s="1" vm="1052">
        <f ca="1"/>
        <v>68.22</v>
      </c>
      <c r="J36" s="1" vm="1053">
        <f ca="1"/>
        <v>191.68</v>
      </c>
      <c r="K36" s="1" vm="1054">
        <f ca="1"/>
        <v>36.636600000000001</v>
      </c>
      <c r="L36" s="1" vm="1055">
        <f ca="1"/>
        <v>273</v>
      </c>
      <c r="M36" s="1" vm="1056">
        <f ca="1"/>
        <v>537.13</v>
      </c>
      <c r="N36" s="1" vm="1057">
        <f ca="1"/>
        <v>130.86000000000001</v>
      </c>
      <c r="O36" s="1" vm="1058">
        <f ca="1"/>
        <v>78.273799999999994</v>
      </c>
      <c r="P36" s="1" vm="1059">
        <f ca="1"/>
        <v>117.58</v>
      </c>
      <c r="Q36" s="1" vm="329">
        <f ca="1"/>
        <v>105.2</v>
      </c>
      <c r="R36" s="1" vm="1060">
        <f ca="1"/>
        <v>140.30000000000001</v>
      </c>
      <c r="S36" s="1" vm="1061">
        <f ca="1"/>
        <v>171.21</v>
      </c>
      <c r="T36" s="1" vm="1062">
        <f ca="1"/>
        <v>302.16000000000003</v>
      </c>
      <c r="U36" s="1" vm="1063">
        <f ca="1"/>
        <v>145.02000000000001</v>
      </c>
      <c r="V36" s="1" vm="1064">
        <f ca="1"/>
        <v>94.89</v>
      </c>
      <c r="W36" s="1" vm="1065">
        <f ca="1"/>
        <v>15.02</v>
      </c>
      <c r="X36" s="1" vm="1066">
        <f ca="1"/>
        <v>44.75</v>
      </c>
      <c r="Y36" s="1" vm="1067">
        <f ca="1"/>
        <v>33.17</v>
      </c>
      <c r="Z36" s="1" vm="1068">
        <f ca="1"/>
        <v>395.91</v>
      </c>
      <c r="AA36" s="1" vm="1069">
        <f ca="1"/>
        <v>315.75</v>
      </c>
      <c r="AB36" s="1" vm="366">
        <f ca="1"/>
        <v>124.94</v>
      </c>
      <c r="AC36" s="1" vm="1070">
        <f ca="1"/>
        <v>53.3095</v>
      </c>
      <c r="AD36" s="1" vm="1071">
        <f ca="1"/>
        <v>55.98</v>
      </c>
      <c r="AE36" s="1" vm="1072">
        <f ca="1"/>
        <v>263.44</v>
      </c>
      <c r="AF36" s="1" vm="1073">
        <f ca="1"/>
        <v>429.43</v>
      </c>
    </row>
    <row r="37" spans="1:32" x14ac:dyDescent="0.25">
      <c r="A37" s="20">
        <f t="shared" ca="1" si="0"/>
        <v>45200</v>
      </c>
      <c r="B37" s="1" vm="1074">
        <f ca="1"/>
        <v>200.84</v>
      </c>
      <c r="C37" s="1" vm="1075">
        <f ca="1"/>
        <v>84.73</v>
      </c>
      <c r="D37" s="1" vm="1076">
        <f ca="1"/>
        <v>40.78</v>
      </c>
      <c r="E37" s="1" vm="650">
        <f ca="1"/>
        <v>35.01</v>
      </c>
      <c r="F37" s="1" vm="1077">
        <f ca="1"/>
        <v>301.27</v>
      </c>
      <c r="G37" s="1" vm="1078">
        <f ca="1"/>
        <v>9.5958000000000006</v>
      </c>
      <c r="H37" s="1" vm="1079">
        <f ca="1"/>
        <v>26.85</v>
      </c>
      <c r="I37" s="1" vm="1080">
        <f ca="1"/>
        <v>65.02</v>
      </c>
      <c r="J37" s="1" vm="136">
        <f ca="1"/>
        <v>186.82</v>
      </c>
      <c r="K37" s="1" vm="1081">
        <f ca="1"/>
        <v>38.844000000000001</v>
      </c>
      <c r="L37" s="1" vm="1082">
        <f ca="1"/>
        <v>226.05</v>
      </c>
      <c r="M37" s="1" vm="1083">
        <f ca="1"/>
        <v>553.92999999999995</v>
      </c>
      <c r="N37" s="1" vm="347">
        <f ca="1"/>
        <v>124.08</v>
      </c>
      <c r="O37" s="1" vm="1084">
        <f ca="1"/>
        <v>76.041499999999999</v>
      </c>
      <c r="P37" s="1" vm="1085">
        <f ca="1"/>
        <v>105.85</v>
      </c>
      <c r="Q37" s="1" vm="1086">
        <f ca="1"/>
        <v>102.53</v>
      </c>
      <c r="R37" s="1" vm="232">
        <f ca="1"/>
        <v>144.63999999999999</v>
      </c>
      <c r="S37" s="1" vm="1087">
        <f ca="1"/>
        <v>170.77</v>
      </c>
      <c r="T37" s="1" vm="1088">
        <f ca="1"/>
        <v>284.69</v>
      </c>
      <c r="U37" s="1" vm="1089">
        <f ca="1"/>
        <v>139.06</v>
      </c>
      <c r="V37" s="1" vm="1090">
        <f ca="1"/>
        <v>91.44</v>
      </c>
      <c r="W37" s="1" vm="1091">
        <f ca="1"/>
        <v>15.4</v>
      </c>
      <c r="X37" s="1" vm="1092">
        <f ca="1"/>
        <v>45.37</v>
      </c>
      <c r="Y37" s="1" vm="1093">
        <f ca="1"/>
        <v>30.56</v>
      </c>
      <c r="Z37" s="1" vm="1094">
        <f ca="1"/>
        <v>376.35</v>
      </c>
      <c r="AA37" s="1" vm="1095">
        <f ca="1"/>
        <v>338.11</v>
      </c>
      <c r="AB37" s="1" vm="1096">
        <f ca="1"/>
        <v>120.86</v>
      </c>
      <c r="AC37" s="1" vm="1097">
        <f ca="1"/>
        <v>54.469499999999996</v>
      </c>
      <c r="AD37" s="1" vm="1098">
        <f ca="1"/>
        <v>56.49</v>
      </c>
      <c r="AE37" s="1" vm="1099">
        <f ca="1"/>
        <v>262.17</v>
      </c>
      <c r="AF37" s="1" vm="1100">
        <f ca="1"/>
        <v>419.94</v>
      </c>
    </row>
    <row r="38" spans="1:32" x14ac:dyDescent="0.25">
      <c r="A38" s="20">
        <f t="shared" ca="1" si="0"/>
        <v>45231</v>
      </c>
      <c r="B38" s="1" vm="1101">
        <f ca="1"/>
        <v>240.08</v>
      </c>
      <c r="C38" s="1" vm="1102">
        <f ca="1"/>
        <v>107.46</v>
      </c>
      <c r="D38" s="1" vm="1103">
        <f ca="1"/>
        <v>46.77</v>
      </c>
      <c r="E38" s="1" vm="501">
        <f ca="1"/>
        <v>39.4</v>
      </c>
      <c r="F38" s="1" vm="1104">
        <f ca="1"/>
        <v>327.14999999999998</v>
      </c>
      <c r="G38" s="1" vm="1105">
        <f ca="1"/>
        <v>10.0977</v>
      </c>
      <c r="H38" s="1" vm="1106">
        <f ca="1"/>
        <v>29.99</v>
      </c>
      <c r="I38" s="1" vm="1107">
        <f ca="1"/>
        <v>65.239999999999995</v>
      </c>
      <c r="J38" s="1" vm="1108">
        <f ca="1"/>
        <v>231.63</v>
      </c>
      <c r="K38" s="1" vm="1109">
        <f ca="1"/>
        <v>44.045000000000002</v>
      </c>
      <c r="L38" s="1" vm="1110">
        <f ca="1"/>
        <v>250.72</v>
      </c>
      <c r="M38" s="1" vm="1111">
        <f ca="1"/>
        <v>591.04</v>
      </c>
      <c r="N38" s="1" vm="1112">
        <f ca="1"/>
        <v>132.53</v>
      </c>
      <c r="O38" s="1" vm="1113">
        <f ca="1"/>
        <v>82.830399999999997</v>
      </c>
      <c r="P38" s="1" vm="1114">
        <f ca="1"/>
        <v>102.74</v>
      </c>
      <c r="Q38" s="1" vm="1115">
        <f ca="1"/>
        <v>122.24</v>
      </c>
      <c r="R38" s="1" vm="1116">
        <f ca="1"/>
        <v>158.56</v>
      </c>
      <c r="S38" s="1" vm="1117">
        <f ca="1"/>
        <v>189.95</v>
      </c>
      <c r="T38" s="1" vm="1118">
        <f ca="1"/>
        <v>313.49</v>
      </c>
      <c r="U38" s="1" vm="1119">
        <f ca="1"/>
        <v>156.08000000000001</v>
      </c>
      <c r="V38" s="1" vm="1120">
        <f ca="1"/>
        <v>97.78</v>
      </c>
      <c r="W38" s="1" vm="1121">
        <f ca="1"/>
        <v>16.57</v>
      </c>
      <c r="X38" s="1" vm="1122">
        <f ca="1"/>
        <v>44.27</v>
      </c>
      <c r="Y38" s="1" vm="1123">
        <f ca="1"/>
        <v>30.47</v>
      </c>
      <c r="Z38" s="1" vm="1124">
        <f ca="1"/>
        <v>413.83</v>
      </c>
      <c r="AA38" s="1" vm="1125">
        <f ca="1"/>
        <v>378.91</v>
      </c>
      <c r="AB38" s="1" vm="1126">
        <f ca="1"/>
        <v>125.55</v>
      </c>
      <c r="AC38" s="1" vm="1127">
        <f ca="1"/>
        <v>51.896099999999997</v>
      </c>
      <c r="AD38" s="1" vm="1128">
        <f ca="1"/>
        <v>58.44</v>
      </c>
      <c r="AE38" s="1" vm="1129">
        <f ca="1"/>
        <v>281.83999999999997</v>
      </c>
      <c r="AF38" s="1" vm="1130">
        <f ca="1"/>
        <v>458.42</v>
      </c>
    </row>
    <row r="39" spans="1:32" x14ac:dyDescent="0.25">
      <c r="A39" s="20">
        <f t="shared" ca="1" si="0"/>
        <v>45261</v>
      </c>
      <c r="B39" s="1" vm="1131">
        <f ca="1"/>
        <v>248.48</v>
      </c>
      <c r="C39" s="1" vm="1132">
        <f ca="1"/>
        <v>129.49</v>
      </c>
      <c r="D39" s="1" vm="1133">
        <f ca="1"/>
        <v>49.521999999999998</v>
      </c>
      <c r="E39" s="1" vm="1134">
        <f ca="1"/>
        <v>41.26</v>
      </c>
      <c r="F39" s="1" vm="1135">
        <f ca="1"/>
        <v>353.96</v>
      </c>
      <c r="G39" s="1" vm="1136">
        <f ca="1"/>
        <v>11.997199999999999</v>
      </c>
      <c r="H39" s="1" vm="1137">
        <f ca="1"/>
        <v>36.840000000000003</v>
      </c>
      <c r="I39" s="1" vm="1138">
        <f ca="1"/>
        <v>76.23</v>
      </c>
      <c r="J39" s="1" vm="1139">
        <f ca="1"/>
        <v>260.66000000000003</v>
      </c>
      <c r="K39" s="1" vm="1140">
        <f ca="1"/>
        <v>45.739199999999997</v>
      </c>
      <c r="L39" s="1" vm="1141">
        <f ca="1"/>
        <v>295.67</v>
      </c>
      <c r="M39" s="1" vm="1142">
        <f ca="1"/>
        <v>582.91999999999996</v>
      </c>
      <c r="N39" s="1" vm="1143">
        <f ca="1"/>
        <v>139.69</v>
      </c>
      <c r="O39" s="1" vm="1144">
        <f ca="1"/>
        <v>91.400300000000001</v>
      </c>
      <c r="P39" s="1" vm="1145">
        <f ca="1"/>
        <v>99.98</v>
      </c>
      <c r="Q39" s="1" vm="1146">
        <f ca="1"/>
        <v>128.54</v>
      </c>
      <c r="R39" s="1" vm="1147">
        <f ca="1"/>
        <v>163.55000000000001</v>
      </c>
      <c r="S39" s="1" vm="1148">
        <f ca="1"/>
        <v>192.53</v>
      </c>
      <c r="T39" s="1" vm="1149">
        <f ca="1"/>
        <v>346.55</v>
      </c>
      <c r="U39" s="1" vm="1150">
        <f ca="1"/>
        <v>170.1</v>
      </c>
      <c r="V39" s="1" vm="1151">
        <f ca="1"/>
        <v>103.71</v>
      </c>
      <c r="W39" s="1" vm="1152">
        <f ca="1"/>
        <v>16.78</v>
      </c>
      <c r="X39" s="1" vm="1153">
        <f ca="1"/>
        <v>45.71</v>
      </c>
      <c r="Y39" s="1" vm="1154">
        <f ca="1"/>
        <v>28.79</v>
      </c>
      <c r="Z39" s="1" vm="1155">
        <f ca="1"/>
        <v>426.51</v>
      </c>
      <c r="AA39" s="1" vm="1156">
        <f ca="1"/>
        <v>376.04</v>
      </c>
      <c r="AB39" s="1" vm="1157">
        <f ca="1"/>
        <v>130.66</v>
      </c>
      <c r="AC39" s="1" vm="1158">
        <f ca="1"/>
        <v>52.549500000000002</v>
      </c>
      <c r="AD39" s="1" vm="1159">
        <f ca="1"/>
        <v>58.93</v>
      </c>
      <c r="AE39" s="1" vm="1160">
        <f ca="1"/>
        <v>296.51</v>
      </c>
      <c r="AF39" s="1" vm="1161">
        <f ca="1"/>
        <v>477.63</v>
      </c>
    </row>
    <row r="40" spans="1:32" x14ac:dyDescent="0.25">
      <c r="A40" s="20">
        <f t="shared" ca="1" si="0"/>
        <v>45292</v>
      </c>
      <c r="B40" s="1" vm="1162">
        <f ca="1"/>
        <v>187.29</v>
      </c>
      <c r="C40" s="1" vm="1163">
        <f ca="1"/>
        <v>127.5</v>
      </c>
      <c r="D40" s="1" vm="1164">
        <f ca="1"/>
        <v>61.527000000000001</v>
      </c>
      <c r="E40" s="1" vm="1165">
        <f ca="1"/>
        <v>41.38</v>
      </c>
      <c r="F40" s="1" vm="1166">
        <f ca="1"/>
        <v>390.14</v>
      </c>
      <c r="G40" s="1" vm="1167">
        <f ca="1"/>
        <v>11.534599999999999</v>
      </c>
      <c r="H40" s="1" vm="1168">
        <f ca="1"/>
        <v>32.450000000000003</v>
      </c>
      <c r="I40" s="1" vm="1169">
        <f ca="1"/>
        <v>73.48</v>
      </c>
      <c r="J40" s="1" vm="1170">
        <f ca="1"/>
        <v>211.04</v>
      </c>
      <c r="K40" s="1" vm="1171">
        <f ca="1"/>
        <v>48.175400000000003</v>
      </c>
      <c r="L40" s="1" vm="1172">
        <f ca="1"/>
        <v>300.31</v>
      </c>
      <c r="M40" s="1" vm="1173">
        <f ca="1"/>
        <v>645.61</v>
      </c>
      <c r="N40" s="1" vm="1174">
        <f ca="1"/>
        <v>140.1</v>
      </c>
      <c r="O40" s="1" vm="1175">
        <f ca="1"/>
        <v>78.884100000000004</v>
      </c>
      <c r="P40" s="1" vm="1176">
        <f ca="1"/>
        <v>102.81</v>
      </c>
      <c r="Q40" s="1" vm="1177">
        <f ca="1"/>
        <v>119.49</v>
      </c>
      <c r="R40" s="1" vm="1178">
        <f ca="1"/>
        <v>183.66</v>
      </c>
      <c r="S40" s="1" vm="1179">
        <f ca="1"/>
        <v>184.4</v>
      </c>
      <c r="T40" s="1" vm="1180">
        <f ca="1"/>
        <v>352.96</v>
      </c>
      <c r="U40" s="1" vm="1181">
        <f ca="1"/>
        <v>174.36</v>
      </c>
      <c r="V40" s="1" vm="1182">
        <f ca="1"/>
        <v>104.93</v>
      </c>
      <c r="W40" s="1" vm="1183">
        <f ca="1"/>
        <v>17.690000000000001</v>
      </c>
      <c r="X40" s="1" vm="343">
        <f ca="1"/>
        <v>46.14</v>
      </c>
      <c r="Y40" s="1" vm="1184">
        <f ca="1"/>
        <v>27.08</v>
      </c>
      <c r="Z40" s="1" vm="1185">
        <f ca="1"/>
        <v>449.23</v>
      </c>
      <c r="AA40" s="1" vm="1186">
        <f ca="1"/>
        <v>397.58</v>
      </c>
      <c r="AB40" s="1" vm="1132">
        <f ca="1"/>
        <v>129.49</v>
      </c>
      <c r="AC40" s="1" vm="1187">
        <f ca="1"/>
        <v>55.082799999999999</v>
      </c>
      <c r="AD40" s="1" vm="1188">
        <f ca="1"/>
        <v>59.49</v>
      </c>
      <c r="AE40" s="1" vm="1189">
        <f ca="1"/>
        <v>292.72000000000003</v>
      </c>
      <c r="AF40" s="1" vm="1190">
        <f ca="1"/>
        <v>485.2</v>
      </c>
    </row>
    <row r="41" spans="1:32" x14ac:dyDescent="0.25">
      <c r="A41" s="20">
        <f t="shared" ca="1" si="0"/>
        <v>45323</v>
      </c>
      <c r="B41" s="1" vm="1191">
        <f ca="1"/>
        <v>201.88</v>
      </c>
      <c r="C41" s="1" vm="1192">
        <f ca="1"/>
        <v>123.35</v>
      </c>
      <c r="D41" s="1" vm="1193">
        <f ca="1"/>
        <v>79.111999999999995</v>
      </c>
      <c r="E41" s="1" vm="1194">
        <f ca="1"/>
        <v>45.49</v>
      </c>
      <c r="F41" s="1" vm="1195">
        <f ca="1"/>
        <v>490.13</v>
      </c>
      <c r="G41" s="1" vm="1196">
        <f ca="1"/>
        <v>12.2432</v>
      </c>
      <c r="H41" s="1" vm="1197">
        <f ca="1"/>
        <v>36.270000000000003</v>
      </c>
      <c r="I41" s="1" vm="1198">
        <f ca="1"/>
        <v>71.89</v>
      </c>
      <c r="J41" s="1" vm="1199">
        <f ca="1"/>
        <v>203.72</v>
      </c>
      <c r="K41" s="1" vm="1200">
        <f ca="1"/>
        <v>53.775399999999998</v>
      </c>
      <c r="L41" s="1" vm="1201">
        <f ca="1"/>
        <v>333.96</v>
      </c>
      <c r="M41" s="1" vm="1202">
        <f ca="1"/>
        <v>753.68</v>
      </c>
      <c r="N41" s="1" vm="1203">
        <f ca="1"/>
        <v>138.46</v>
      </c>
      <c r="O41" s="1" vm="1204">
        <f ca="1"/>
        <v>77.0197</v>
      </c>
      <c r="P41" s="1" vm="1205">
        <f ca="1"/>
        <v>104.52</v>
      </c>
      <c r="Q41" s="1" vm="1206">
        <f ca="1"/>
        <v>137.35</v>
      </c>
      <c r="R41" s="1" vm="1207">
        <f ca="1"/>
        <v>185.03</v>
      </c>
      <c r="S41" s="1" vm="1208">
        <f ca="1"/>
        <v>180.75</v>
      </c>
      <c r="T41" s="1" vm="1209">
        <f ca="1"/>
        <v>380.61</v>
      </c>
      <c r="U41" s="1" vm="1210">
        <f ca="1"/>
        <v>186.06</v>
      </c>
      <c r="V41" s="1" vm="1211">
        <f ca="1"/>
        <v>108.99</v>
      </c>
      <c r="W41" s="1" vm="1212">
        <f ca="1"/>
        <v>16.93</v>
      </c>
      <c r="X41" s="1" vm="1213">
        <f ca="1"/>
        <v>49.61</v>
      </c>
      <c r="Y41" s="1" vm="1214">
        <f ca="1"/>
        <v>26.56</v>
      </c>
      <c r="Z41" s="1" vm="1215">
        <f ca="1"/>
        <v>474.76</v>
      </c>
      <c r="AA41" s="1" vm="1216">
        <f ca="1"/>
        <v>413.64</v>
      </c>
      <c r="AB41" s="1" vm="1217">
        <f ca="1"/>
        <v>138.41999999999999</v>
      </c>
      <c r="AC41" s="1" vm="1218">
        <f ca="1"/>
        <v>58.61</v>
      </c>
      <c r="AD41" s="1" vm="1219">
        <f ca="1"/>
        <v>60.02</v>
      </c>
      <c r="AE41" s="1" vm="1220">
        <f ca="1"/>
        <v>292.27999999999997</v>
      </c>
      <c r="AF41" s="1" vm="1221">
        <f ca="1"/>
        <v>510.45</v>
      </c>
    </row>
    <row r="42" spans="1:32" x14ac:dyDescent="0.25">
      <c r="A42" s="20">
        <f t="shared" ca="1" si="0"/>
        <v>45352</v>
      </c>
      <c r="B42" s="1" vm="1222">
        <f ca="1"/>
        <v>175.79</v>
      </c>
      <c r="C42" s="1" vm="1223">
        <f ca="1"/>
        <v>139.01</v>
      </c>
      <c r="D42" s="1" vm="1224">
        <f ca="1"/>
        <v>90.355999999999995</v>
      </c>
      <c r="E42" s="1" vm="1225">
        <f ca="1"/>
        <v>47.88</v>
      </c>
      <c r="F42" s="1" vm="1226">
        <f ca="1"/>
        <v>485.58</v>
      </c>
      <c r="G42" s="1" vm="1227">
        <f ca="1"/>
        <v>13.069900000000001</v>
      </c>
      <c r="H42" s="1" vm="363">
        <f ca="1"/>
        <v>43.74</v>
      </c>
      <c r="I42" s="1" vm="1228">
        <f ca="1"/>
        <v>66.599999999999994</v>
      </c>
      <c r="J42" s="1" vm="1229">
        <f ca="1"/>
        <v>192.99</v>
      </c>
      <c r="K42" s="1" vm="1230">
        <f ca="1"/>
        <v>58.135399999999997</v>
      </c>
      <c r="L42" s="1" vm="1231">
        <f ca="1"/>
        <v>366.43</v>
      </c>
      <c r="M42" s="1" vm="1232">
        <f ca="1"/>
        <v>777.96</v>
      </c>
      <c r="N42" s="1" vm="1233">
        <f ca="1"/>
        <v>150.93</v>
      </c>
      <c r="O42" s="1" vm="1234">
        <f ca="1"/>
        <v>88.683000000000007</v>
      </c>
      <c r="P42" s="1" vm="1235">
        <f ca="1"/>
        <v>116.24</v>
      </c>
      <c r="Q42" s="1" vm="1236">
        <f ca="1"/>
        <v>148.87</v>
      </c>
      <c r="R42" s="1" vm="1237">
        <f ca="1"/>
        <v>190.96</v>
      </c>
      <c r="S42" s="1" vm="1238">
        <f ca="1"/>
        <v>171.48</v>
      </c>
      <c r="T42" s="1" vm="1239">
        <f ca="1"/>
        <v>383.6</v>
      </c>
      <c r="U42" s="1" vm="1240">
        <f ca="1"/>
        <v>200.3</v>
      </c>
      <c r="V42" s="1" vm="1241">
        <f ca="1"/>
        <v>117.4</v>
      </c>
      <c r="W42" s="1" vm="1242">
        <f ca="1"/>
        <v>17.600000000000001</v>
      </c>
      <c r="X42" s="1" vm="1243">
        <f ca="1"/>
        <v>57.13</v>
      </c>
      <c r="Y42" s="1" vm="1244">
        <f ca="1"/>
        <v>27.75</v>
      </c>
      <c r="Z42" s="1" vm="1245">
        <f ca="1"/>
        <v>481.57</v>
      </c>
      <c r="AA42" s="1" vm="1246">
        <f ca="1"/>
        <v>420.72</v>
      </c>
      <c r="AB42" s="1" vm="1247">
        <f ca="1"/>
        <v>138.65</v>
      </c>
      <c r="AC42" s="1" vm="1248">
        <f ca="1"/>
        <v>60.17</v>
      </c>
      <c r="AD42" s="1" vm="1249">
        <f ca="1"/>
        <v>61.18</v>
      </c>
      <c r="AE42" s="1" vm="1250">
        <f ca="1"/>
        <v>281.95</v>
      </c>
      <c r="AF42" s="1" vm="1251">
        <f ca="1"/>
        <v>525.73</v>
      </c>
    </row>
    <row r="43" spans="1:32" x14ac:dyDescent="0.25">
      <c r="A43" s="20">
        <f t="shared" ca="1" si="0"/>
        <v>45383</v>
      </c>
      <c r="B43" s="1" vm="1252">
        <f ca="1"/>
        <v>183.28</v>
      </c>
      <c r="C43" s="1" vm="1253">
        <f ca="1"/>
        <v>139.63</v>
      </c>
      <c r="D43" s="1" vm="1254">
        <f ca="1"/>
        <v>86.402000000000001</v>
      </c>
      <c r="E43" s="1" vm="1255">
        <f ca="1"/>
        <v>51.46</v>
      </c>
      <c r="F43" s="1" vm="1256">
        <f ca="1"/>
        <v>430.17</v>
      </c>
      <c r="G43" s="1" vm="1257">
        <f ca="1"/>
        <v>11.957800000000001</v>
      </c>
      <c r="H43" s="1" vm="1258">
        <f ca="1"/>
        <v>34.39</v>
      </c>
      <c r="I43" s="1" vm="1259">
        <f ca="1"/>
        <v>61.69</v>
      </c>
      <c r="J43" s="1" vm="1260">
        <f ca="1"/>
        <v>167.84</v>
      </c>
      <c r="K43" s="1" vm="1261">
        <f ca="1"/>
        <v>63.192</v>
      </c>
      <c r="L43" s="1" vm="1262">
        <f ca="1"/>
        <v>334.57</v>
      </c>
      <c r="M43" s="1" vm="1263">
        <f ca="1"/>
        <v>781.1</v>
      </c>
      <c r="N43" s="1" vm="1264">
        <f ca="1"/>
        <v>162.78</v>
      </c>
      <c r="O43" s="1" vm="1265">
        <f ca="1"/>
        <v>96.51</v>
      </c>
      <c r="P43" s="1" vm="1266">
        <f ca="1"/>
        <v>118.27</v>
      </c>
      <c r="Q43" s="1" vm="1267">
        <f ca="1"/>
        <v>144.47</v>
      </c>
      <c r="R43" s="1" vm="1268">
        <f ca="1"/>
        <v>166.2</v>
      </c>
      <c r="S43" s="1" vm="1269">
        <f ca="1"/>
        <v>170.33</v>
      </c>
      <c r="T43" s="1" vm="1270">
        <f ca="1"/>
        <v>334.22</v>
      </c>
      <c r="U43" s="1" vm="1271">
        <f ca="1"/>
        <v>191.74</v>
      </c>
      <c r="V43" s="1" vm="1272">
        <f ca="1"/>
        <v>110.48</v>
      </c>
      <c r="W43" s="1" vm="1273">
        <f ca="1"/>
        <v>16.89</v>
      </c>
      <c r="X43" s="1" vm="1274">
        <f ca="1"/>
        <v>55.38</v>
      </c>
      <c r="Y43" s="1" vm="1275">
        <f ca="1"/>
        <v>25.62</v>
      </c>
      <c r="Z43" s="1" vm="1276">
        <f ca="1"/>
        <v>451.2</v>
      </c>
      <c r="AA43" s="1" vm="1277">
        <f ca="1"/>
        <v>389.33</v>
      </c>
      <c r="AB43" s="1" vm="1278">
        <f ca="1"/>
        <v>141.25</v>
      </c>
      <c r="AC43" s="1" vm="1279">
        <f ca="1"/>
        <v>59.35</v>
      </c>
      <c r="AD43" s="1" vm="1280">
        <f ca="1"/>
        <v>61.77</v>
      </c>
      <c r="AE43" s="1" vm="1281">
        <f ca="1"/>
        <v>273.04000000000002</v>
      </c>
      <c r="AF43" s="1" vm="1282">
        <f ca="1"/>
        <v>504.44</v>
      </c>
    </row>
    <row r="44" spans="1:32" x14ac:dyDescent="0.25">
      <c r="A44" s="20">
        <f t="shared" ca="1" si="0"/>
        <v>45413</v>
      </c>
      <c r="B44" s="1" vm="1283">
        <f ca="1"/>
        <v>178.08</v>
      </c>
      <c r="C44" s="1" vm="1284">
        <f ca="1"/>
        <v>147.68</v>
      </c>
      <c r="D44" s="1" vm="1285">
        <f ca="1"/>
        <v>109.633</v>
      </c>
      <c r="E44" s="1" vm="1286">
        <f ca="1"/>
        <v>52.99</v>
      </c>
      <c r="F44" s="1" vm="1287">
        <f ca="1"/>
        <v>466.83</v>
      </c>
      <c r="G44" s="1" vm="1020">
        <f ca="1"/>
        <v>11.9381</v>
      </c>
      <c r="H44" s="1" vm="1288">
        <f ca="1"/>
        <v>35.880000000000003</v>
      </c>
      <c r="I44" s="1" vm="1289">
        <f ca="1"/>
        <v>46.46</v>
      </c>
      <c r="J44" s="1" vm="1290">
        <f ca="1"/>
        <v>177.61</v>
      </c>
      <c r="K44" s="1" vm="1291">
        <f ca="1"/>
        <v>62.590400000000002</v>
      </c>
      <c r="L44" s="1" vm="1292">
        <f ca="1"/>
        <v>338.52</v>
      </c>
      <c r="M44" s="1" vm="1293">
        <f ca="1"/>
        <v>820.34</v>
      </c>
      <c r="N44" s="1" vm="1294">
        <f ca="1"/>
        <v>172.5</v>
      </c>
      <c r="O44" s="1" vm="1295">
        <f ca="1"/>
        <v>100.14</v>
      </c>
      <c r="P44" s="1" vm="1296">
        <f ca="1"/>
        <v>117.26</v>
      </c>
      <c r="Q44" s="1" vm="1297">
        <f ca="1"/>
        <v>163.85</v>
      </c>
      <c r="R44" s="1" vm="1298">
        <f ca="1"/>
        <v>166.85</v>
      </c>
      <c r="S44" s="1" vm="1299">
        <f ca="1"/>
        <v>192.25</v>
      </c>
      <c r="T44" s="1" vm="1300">
        <f ca="1"/>
        <v>334.87</v>
      </c>
      <c r="U44" s="1" vm="1301">
        <f ca="1"/>
        <v>202.63</v>
      </c>
      <c r="V44" s="1" vm="1302">
        <f ca="1"/>
        <v>120.35</v>
      </c>
      <c r="W44" s="1" vm="1303">
        <f ca="1"/>
        <v>18.22</v>
      </c>
      <c r="X44" s="1" vm="1304">
        <f ca="1"/>
        <v>52.37</v>
      </c>
      <c r="Y44" s="1" vm="1305">
        <f ca="1"/>
        <v>28.66</v>
      </c>
      <c r="Z44" s="1" vm="1306">
        <f ca="1"/>
        <v>447.07</v>
      </c>
      <c r="AA44" s="1" vm="1307">
        <f ca="1"/>
        <v>415.13</v>
      </c>
      <c r="AB44" s="1" vm="1308">
        <f ca="1"/>
        <v>137.43</v>
      </c>
      <c r="AC44" s="1" vm="1309">
        <f ca="1"/>
        <v>65.760000000000005</v>
      </c>
      <c r="AD44" s="1" vm="1310">
        <f ca="1"/>
        <v>62.93</v>
      </c>
      <c r="AE44" s="1" vm="1311">
        <f ca="1"/>
        <v>258.89</v>
      </c>
      <c r="AF44" s="1" vm="1312">
        <f ca="1"/>
        <v>529.96</v>
      </c>
    </row>
    <row r="45" spans="1:32" x14ac:dyDescent="0.25">
      <c r="A45" s="20">
        <f t="shared" ca="1" si="0"/>
        <v>45444</v>
      </c>
      <c r="B45" s="1" vm="1313">
        <f ca="1"/>
        <v>197.88</v>
      </c>
      <c r="C45" s="1" vm="1314">
        <f ca="1"/>
        <v>159.43</v>
      </c>
      <c r="D45" s="1" vm="1315">
        <f ca="1"/>
        <v>123.54</v>
      </c>
      <c r="E45" s="1" vm="1316">
        <f ca="1"/>
        <v>48.66</v>
      </c>
      <c r="F45" s="1" vm="1317">
        <f ca="1"/>
        <v>504.22</v>
      </c>
      <c r="G45" s="1" vm="1318">
        <f ca="1"/>
        <v>12.3416</v>
      </c>
      <c r="H45" s="1" vm="1319">
        <f ca="1"/>
        <v>33.54</v>
      </c>
      <c r="I45" s="1" vm="1320">
        <f ca="1"/>
        <v>46.98</v>
      </c>
      <c r="J45" s="1" vm="1321">
        <f ca="1"/>
        <v>182.01</v>
      </c>
      <c r="K45" s="1" vm="1322">
        <f ca="1"/>
        <v>62.65</v>
      </c>
      <c r="L45" s="1" vm="1323">
        <f ca="1"/>
        <v>333.1</v>
      </c>
      <c r="M45" s="1" vm="1324">
        <f ca="1"/>
        <v>905.38</v>
      </c>
      <c r="N45" s="1" vm="1325">
        <f ca="1"/>
        <v>182.15</v>
      </c>
      <c r="O45" s="1" vm="1326">
        <f ca="1"/>
        <v>102.19</v>
      </c>
      <c r="P45" s="1" vm="1327">
        <f ca="1"/>
        <v>115.12</v>
      </c>
      <c r="Q45" s="1" vm="1328">
        <f ca="1"/>
        <v>162.91999999999999</v>
      </c>
      <c r="R45" s="1" vm="1329">
        <f ca="1"/>
        <v>172.95</v>
      </c>
      <c r="S45" s="1" vm="1330">
        <f ca="1"/>
        <v>210.62</v>
      </c>
      <c r="T45" s="1" vm="1331">
        <f ca="1"/>
        <v>344.24</v>
      </c>
      <c r="U45" s="1" vm="1332">
        <f ca="1"/>
        <v>202.26</v>
      </c>
      <c r="V45" s="1" vm="1333">
        <f ca="1"/>
        <v>117.19</v>
      </c>
      <c r="W45" s="1" vm="1334">
        <f ca="1"/>
        <v>19.11</v>
      </c>
      <c r="X45" s="1" vm="1335">
        <f ca="1"/>
        <v>49.93</v>
      </c>
      <c r="Y45" s="1" vm="1336">
        <f ca="1"/>
        <v>27.98</v>
      </c>
      <c r="Z45" s="1" vm="1337">
        <f ca="1"/>
        <v>441.16</v>
      </c>
      <c r="AA45" s="1" vm="1338">
        <f ca="1"/>
        <v>446.95</v>
      </c>
      <c r="AB45" s="1" vm="1339">
        <f ca="1"/>
        <v>132.46</v>
      </c>
      <c r="AC45" s="1" vm="1340">
        <f ca="1"/>
        <v>67.709999999999994</v>
      </c>
      <c r="AD45" s="1" vm="1341">
        <f ca="1"/>
        <v>63.65</v>
      </c>
      <c r="AE45" s="1" vm="1342">
        <f ca="1"/>
        <v>254.84</v>
      </c>
      <c r="AF45" s="1" vm="1343">
        <f ca="1"/>
        <v>547.23</v>
      </c>
    </row>
    <row r="46" spans="1:32" x14ac:dyDescent="0.25">
      <c r="A46" s="20">
        <f t="shared" ca="1" si="0"/>
        <v>45474</v>
      </c>
      <c r="B46" s="1" vm="1344">
        <f ca="1"/>
        <v>232.07</v>
      </c>
      <c r="C46" s="1" vm="1345">
        <f ca="1"/>
        <v>156.72</v>
      </c>
      <c r="D46" s="1" vm="1346">
        <f ca="1"/>
        <v>117.02</v>
      </c>
      <c r="E46" s="1" vm="1347">
        <f ca="1"/>
        <v>45.42</v>
      </c>
      <c r="F46" s="1" vm="1348">
        <f ca="1"/>
        <v>474.83</v>
      </c>
      <c r="G46" s="1" vm="1349">
        <f ca="1"/>
        <v>10.6488</v>
      </c>
      <c r="H46" s="1" vm="1350">
        <f ca="1"/>
        <v>37.5</v>
      </c>
      <c r="I46" s="1" vm="1351">
        <f ca="1"/>
        <v>44.23</v>
      </c>
      <c r="J46" s="1" vm="1352">
        <f ca="1"/>
        <v>190.6</v>
      </c>
      <c r="K46" s="1" vm="1353">
        <f ca="1"/>
        <v>54.32</v>
      </c>
      <c r="L46" s="1" vm="1354">
        <f ca="1"/>
        <v>346.2</v>
      </c>
      <c r="M46" s="1" vm="1355">
        <f ca="1"/>
        <v>804.27</v>
      </c>
      <c r="N46" s="1" vm="1356">
        <f ca="1"/>
        <v>171.54</v>
      </c>
      <c r="O46" s="1" vm="1357">
        <f ca="1"/>
        <v>127.55</v>
      </c>
      <c r="P46" s="1" vm="1358">
        <f ca="1"/>
        <v>118.59</v>
      </c>
      <c r="Q46" s="1" vm="1359">
        <f ca="1"/>
        <v>171.25</v>
      </c>
      <c r="R46" s="1" vm="1360">
        <f ca="1"/>
        <v>192.14</v>
      </c>
      <c r="S46" s="1" vm="1361">
        <f ca="1"/>
        <v>222.08</v>
      </c>
      <c r="T46" s="1" vm="1362">
        <f ca="1"/>
        <v>368.16</v>
      </c>
      <c r="U46" s="1" vm="1363">
        <f ca="1"/>
        <v>212.8</v>
      </c>
      <c r="V46" s="1" vm="1364">
        <f ca="1"/>
        <v>125.32</v>
      </c>
      <c r="W46" s="1" vm="881">
        <f ca="1"/>
        <v>19.25</v>
      </c>
      <c r="X46" s="1" vm="1365">
        <f ca="1"/>
        <v>54.5</v>
      </c>
      <c r="Y46" s="1" vm="1366">
        <f ca="1"/>
        <v>30.54</v>
      </c>
      <c r="Z46" s="1" vm="1367">
        <f ca="1"/>
        <v>463.71</v>
      </c>
      <c r="AA46" s="1" vm="1368">
        <f ca="1"/>
        <v>418.35</v>
      </c>
      <c r="AB46" s="1" vm="1369">
        <f ca="1"/>
        <v>132.83000000000001</v>
      </c>
      <c r="AC46" s="1" vm="1370">
        <f ca="1"/>
        <v>68.64</v>
      </c>
      <c r="AD46" s="1" vm="1371">
        <f ca="1"/>
        <v>66.739999999999995</v>
      </c>
      <c r="AE46" s="1" vm="1372">
        <f ca="1"/>
        <v>265.39999999999998</v>
      </c>
      <c r="AF46" s="1" vm="1373">
        <f ca="1"/>
        <v>553.32000000000005</v>
      </c>
    </row>
    <row r="47" spans="1:32" x14ac:dyDescent="0.25">
      <c r="A47" s="20">
        <f t="shared" ca="1" si="0"/>
        <v>45505</v>
      </c>
      <c r="B47" s="1" vm="1374">
        <f ca="1"/>
        <v>214.11</v>
      </c>
      <c r="C47" s="1" vm="1375">
        <f ca="1"/>
        <v>164.62</v>
      </c>
      <c r="D47" s="1" vm="1376">
        <f ca="1"/>
        <v>119.37</v>
      </c>
      <c r="E47" s="1" vm="1377">
        <f ca="1"/>
        <v>44.04</v>
      </c>
      <c r="F47" s="1" vm="1378">
        <f ca="1"/>
        <v>521.30999999999995</v>
      </c>
      <c r="G47" s="1" vm="1379">
        <f ca="1"/>
        <v>11.013</v>
      </c>
      <c r="H47" s="1" vm="1380">
        <f ca="1"/>
        <v>37.44</v>
      </c>
      <c r="I47" s="1" vm="1381">
        <f ca="1"/>
        <v>47.37</v>
      </c>
      <c r="J47" s="1" vm="1382">
        <f ca="1"/>
        <v>173.74</v>
      </c>
      <c r="K47" s="1" vm="1383">
        <f ca="1"/>
        <v>56.08</v>
      </c>
      <c r="L47" s="1" vm="1384">
        <f ca="1"/>
        <v>356.1</v>
      </c>
      <c r="M47" s="1" vm="1385">
        <f ca="1"/>
        <v>960.02</v>
      </c>
      <c r="N47" s="1" vm="1386">
        <f ca="1"/>
        <v>163.38</v>
      </c>
      <c r="O47" s="1" vm="1387">
        <f ca="1"/>
        <v>134.69</v>
      </c>
      <c r="P47" s="1" vm="1388">
        <f ca="1"/>
        <v>117.94</v>
      </c>
      <c r="Q47" s="1" vm="1389">
        <f ca="1"/>
        <v>183.29</v>
      </c>
      <c r="R47" s="1" vm="1390">
        <f ca="1"/>
        <v>202.13</v>
      </c>
      <c r="S47" s="1" vm="1391">
        <f ca="1"/>
        <v>229</v>
      </c>
      <c r="T47" s="1" vm="1392">
        <f ca="1"/>
        <v>368.5</v>
      </c>
      <c r="U47" s="1" vm="1393">
        <f ca="1"/>
        <v>224.8</v>
      </c>
      <c r="V47" s="1" vm="1394">
        <f ca="1"/>
        <v>121.16</v>
      </c>
      <c r="W47" s="1" vm="1395">
        <f ca="1"/>
        <v>19.899999999999999</v>
      </c>
      <c r="X47" s="1" vm="1396">
        <f ca="1"/>
        <v>53.21</v>
      </c>
      <c r="Y47" s="1" vm="1397">
        <f ca="1"/>
        <v>29.01</v>
      </c>
      <c r="Z47" s="1" vm="1398">
        <f ca="1"/>
        <v>483.34</v>
      </c>
      <c r="AA47" s="1" vm="1399">
        <f ca="1"/>
        <v>417.14</v>
      </c>
      <c r="AB47" s="1" vm="1400">
        <f ca="1"/>
        <v>134.91999999999999</v>
      </c>
      <c r="AC47" s="1" vm="1401">
        <f ca="1"/>
        <v>77.23</v>
      </c>
      <c r="AD47" s="1" vm="1402">
        <f ca="1"/>
        <v>72.47</v>
      </c>
      <c r="AE47" s="1" vm="1403">
        <f ca="1"/>
        <v>288.66000000000003</v>
      </c>
      <c r="AF47" s="1" vm="1404">
        <f ca="1"/>
        <v>566.75</v>
      </c>
    </row>
    <row r="48" spans="1:32" x14ac:dyDescent="0.25">
      <c r="A48" s="20">
        <f t="shared" ca="1" si="0"/>
        <v>45536</v>
      </c>
      <c r="B48" s="1" vm="1405">
        <f ca="1"/>
        <v>261.63</v>
      </c>
      <c r="C48" s="1" vm="1406">
        <f ca="1"/>
        <v>177.36</v>
      </c>
      <c r="D48" s="1" vm="1407">
        <f ca="1"/>
        <v>121.44</v>
      </c>
      <c r="E48" s="1" vm="1408">
        <f ca="1"/>
        <v>57.06</v>
      </c>
      <c r="F48" s="1" vm="1409">
        <f ca="1"/>
        <v>572.44000000000005</v>
      </c>
      <c r="G48" s="1" vm="1410">
        <f ca="1"/>
        <v>10.392899999999999</v>
      </c>
      <c r="H48" s="1" vm="1411">
        <f ca="1"/>
        <v>38.53</v>
      </c>
      <c r="I48" s="1" vm="1412">
        <f ca="1"/>
        <v>53.87</v>
      </c>
      <c r="J48" s="1" vm="1413">
        <f ca="1"/>
        <v>152.04</v>
      </c>
      <c r="K48" s="1" vm="1414">
        <f ca="1"/>
        <v>57.62</v>
      </c>
      <c r="L48" s="1" vm="1415">
        <f ca="1"/>
        <v>391.12</v>
      </c>
      <c r="M48" s="1" vm="1416">
        <f ca="1"/>
        <v>885.94</v>
      </c>
      <c r="N48" s="1" vm="1417">
        <f ca="1"/>
        <v>165.85</v>
      </c>
      <c r="O48" s="1" vm="1418">
        <f ca="1"/>
        <v>136.69999999999999</v>
      </c>
      <c r="P48" s="1" vm="1419">
        <f ca="1"/>
        <v>117.22</v>
      </c>
      <c r="Q48" s="1" vm="1420">
        <f ca="1"/>
        <v>176.03</v>
      </c>
      <c r="R48" s="1" vm="1421">
        <f ca="1"/>
        <v>221.08</v>
      </c>
      <c r="S48" s="1" vm="1422">
        <f ca="1"/>
        <v>233</v>
      </c>
      <c r="T48" s="1" vm="1423">
        <f ca="1"/>
        <v>405.2</v>
      </c>
      <c r="U48" s="1" vm="1424">
        <f ca="1"/>
        <v>210.86</v>
      </c>
      <c r="V48" s="1" vm="1425">
        <f ca="1"/>
        <v>121.1</v>
      </c>
      <c r="W48" s="1" vm="1426">
        <f ca="1"/>
        <v>22</v>
      </c>
      <c r="X48" s="1" vm="1427">
        <f ca="1"/>
        <v>57.3</v>
      </c>
      <c r="Y48" s="1" vm="1428">
        <f ca="1"/>
        <v>28.94</v>
      </c>
      <c r="Z48" s="1" vm="1429">
        <f ca="1"/>
        <v>493.8</v>
      </c>
      <c r="AA48" s="1" vm="1430">
        <f ca="1"/>
        <v>430.3</v>
      </c>
      <c r="AB48" s="1" vm="1431">
        <f ca="1"/>
        <v>139.71</v>
      </c>
      <c r="AC48" s="1" vm="1432">
        <f ca="1"/>
        <v>80.75</v>
      </c>
      <c r="AD48" s="1" vm="1433">
        <f ca="1"/>
        <v>71.86</v>
      </c>
      <c r="AE48" s="1" vm="1434">
        <f ca="1"/>
        <v>304.51</v>
      </c>
      <c r="AF48" s="1" vm="1435">
        <f ca="1"/>
        <v>576.82000000000005</v>
      </c>
    </row>
    <row r="49" spans="1:32" x14ac:dyDescent="0.25">
      <c r="A49" s="20">
        <f t="shared" ca="1" si="0"/>
        <v>45566</v>
      </c>
      <c r="B49" s="1" vm="1436">
        <f ca="1"/>
        <v>249.85</v>
      </c>
      <c r="C49" s="1" vm="1437">
        <f ca="1"/>
        <v>206.35</v>
      </c>
      <c r="D49" s="1" vm="1438">
        <f ca="1"/>
        <v>132.76</v>
      </c>
      <c r="E49" s="1" vm="1439">
        <f ca="1"/>
        <v>78.260000000000005</v>
      </c>
      <c r="F49" s="1" vm="1440">
        <f ca="1"/>
        <v>567.58000000000004</v>
      </c>
      <c r="G49" s="1" vm="1441">
        <f ca="1"/>
        <v>10.1272</v>
      </c>
      <c r="H49" s="1" vm="1442">
        <f ca="1"/>
        <v>31.95</v>
      </c>
      <c r="I49" s="1" vm="1443">
        <f ca="1"/>
        <v>52.39</v>
      </c>
      <c r="J49" s="1" vm="1444">
        <f ca="1"/>
        <v>149.31</v>
      </c>
      <c r="K49" s="1" vm="1445">
        <f ca="1"/>
        <v>55.77</v>
      </c>
      <c r="L49" s="1" vm="1446">
        <f ca="1"/>
        <v>376.2</v>
      </c>
      <c r="M49" s="1" vm="1447">
        <f ca="1"/>
        <v>829.74</v>
      </c>
      <c r="N49" s="1" vm="1448">
        <f ca="1"/>
        <v>171.11</v>
      </c>
      <c r="O49" s="1" vm="1449">
        <f ca="1"/>
        <v>128.47</v>
      </c>
      <c r="P49" s="1" vm="1450">
        <f ca="1"/>
        <v>116.78</v>
      </c>
      <c r="Q49" s="1" vm="1451">
        <f ca="1"/>
        <v>198.35</v>
      </c>
      <c r="R49" s="1" vm="1452">
        <f ca="1"/>
        <v>206.72</v>
      </c>
      <c r="S49" s="1" vm="1453">
        <f ca="1"/>
        <v>225.91</v>
      </c>
      <c r="T49" s="1" vm="1454">
        <f ca="1"/>
        <v>393.75</v>
      </c>
      <c r="U49" s="1" vm="1455">
        <f ca="1"/>
        <v>221.92</v>
      </c>
      <c r="V49" s="1" vm="1456">
        <f ca="1"/>
        <v>122.48</v>
      </c>
      <c r="W49" s="1" vm="1457">
        <f ca="1"/>
        <v>22.54</v>
      </c>
      <c r="X49" s="1" vm="1445">
        <f ca="1"/>
        <v>55.77</v>
      </c>
      <c r="Y49" s="1" vm="1458">
        <f ca="1"/>
        <v>28.3</v>
      </c>
      <c r="Z49" s="1" vm="1459">
        <f ca="1"/>
        <v>499.59</v>
      </c>
      <c r="AA49" s="1" vm="1460">
        <f ca="1"/>
        <v>406.35</v>
      </c>
      <c r="AB49" s="1" vm="1461">
        <f ca="1"/>
        <v>131.16</v>
      </c>
      <c r="AC49" s="1" vm="1462">
        <f ca="1"/>
        <v>81.95</v>
      </c>
      <c r="AD49" s="1" vm="1463">
        <f ca="1"/>
        <v>65.31</v>
      </c>
      <c r="AE49" s="1" vm="1464">
        <f ca="1"/>
        <v>292.11</v>
      </c>
      <c r="AF49" s="1" vm="1465">
        <f ca="1"/>
        <v>571.24</v>
      </c>
    </row>
    <row r="50" spans="1:32" x14ac:dyDescent="0.25">
      <c r="A50" s="20">
        <f t="shared" ca="1" si="0"/>
        <v>45597</v>
      </c>
      <c r="B50" s="1" vm="1466">
        <f ca="1"/>
        <v>345.16</v>
      </c>
      <c r="C50" s="1" vm="1467">
        <f ca="1"/>
        <v>244.06</v>
      </c>
      <c r="D50" s="1" vm="1468">
        <f ca="1"/>
        <v>138.25</v>
      </c>
      <c r="E50" s="1" vm="1469">
        <f ca="1"/>
        <v>96.83</v>
      </c>
      <c r="F50" s="1" vm="1470">
        <f ca="1"/>
        <v>574.32000000000005</v>
      </c>
      <c r="G50" s="1" vm="591">
        <f ca="1"/>
        <v>10.953900000000001</v>
      </c>
      <c r="H50" s="1" vm="1471">
        <f ca="1"/>
        <v>33.630000000000003</v>
      </c>
      <c r="I50" s="1" vm="1472">
        <f ca="1"/>
        <v>49.83</v>
      </c>
      <c r="J50" s="1" vm="1473">
        <f ca="1"/>
        <v>155.44</v>
      </c>
      <c r="K50" s="1" vm="1474">
        <f ca="1"/>
        <v>61.52</v>
      </c>
      <c r="L50" s="1" vm="1475">
        <f ca="1"/>
        <v>406.11</v>
      </c>
      <c r="M50" s="1" vm="1476">
        <f ca="1"/>
        <v>795.35</v>
      </c>
      <c r="N50" s="1" vm="1477">
        <f ca="1"/>
        <v>168.95</v>
      </c>
      <c r="O50" s="1" vm="1478">
        <f ca="1"/>
        <v>133.53</v>
      </c>
      <c r="P50" s="1" vm="1479">
        <f ca="1"/>
        <v>117.96</v>
      </c>
      <c r="Q50" s="1" vm="1480">
        <f ca="1"/>
        <v>212.6</v>
      </c>
      <c r="R50" s="1" vm="1481">
        <f ca="1"/>
        <v>227.41</v>
      </c>
      <c r="S50" s="1" vm="1482">
        <f ca="1"/>
        <v>237.33</v>
      </c>
      <c r="T50" s="1" vm="1483">
        <f ca="1"/>
        <v>429.13</v>
      </c>
      <c r="U50" s="1" vm="1484">
        <f ca="1"/>
        <v>249.72</v>
      </c>
      <c r="V50" s="1" vm="1485">
        <f ca="1"/>
        <v>129.41</v>
      </c>
      <c r="W50" s="1" vm="1486">
        <f ca="1"/>
        <v>23.16</v>
      </c>
      <c r="X50" s="1" vm="1487">
        <f ca="1"/>
        <v>61.08</v>
      </c>
      <c r="Y50" s="1" vm="1488">
        <f ca="1"/>
        <v>26.21</v>
      </c>
      <c r="Z50" s="1" vm="1489">
        <f ca="1"/>
        <v>532.94000000000005</v>
      </c>
      <c r="AA50" s="1" vm="1490">
        <f ca="1"/>
        <v>423.46</v>
      </c>
      <c r="AB50" s="1" vm="1491">
        <f ca="1"/>
        <v>138.94</v>
      </c>
      <c r="AC50" s="1" vm="1492">
        <f ca="1"/>
        <v>92.5</v>
      </c>
      <c r="AD50" s="1" vm="1493">
        <f ca="1"/>
        <v>64.08</v>
      </c>
      <c r="AE50" s="1" vm="1494">
        <f ca="1"/>
        <v>296.01</v>
      </c>
      <c r="AF50" s="1" vm="1495">
        <f ca="1"/>
        <v>605.07000000000005</v>
      </c>
    </row>
    <row r="51" spans="1:32" x14ac:dyDescent="0.25">
      <c r="A51" s="20">
        <f t="shared" ca="1" si="0"/>
        <v>45627</v>
      </c>
      <c r="B51" s="1" vm="1496">
        <f ca="1"/>
        <v>403.84</v>
      </c>
      <c r="C51" s="1" vm="1497">
        <f ca="1"/>
        <v>230.69</v>
      </c>
      <c r="D51" s="1" vm="1498">
        <f ca="1"/>
        <v>134.29</v>
      </c>
      <c r="E51" s="1" vm="1499">
        <f ca="1"/>
        <v>97.1</v>
      </c>
      <c r="F51" s="1" vm="1500">
        <f ca="1"/>
        <v>585.51</v>
      </c>
      <c r="G51" s="1" vm="1501">
        <f ca="1"/>
        <v>9.7433999999999994</v>
      </c>
      <c r="H51" s="1" vm="1502">
        <f ca="1"/>
        <v>30.13</v>
      </c>
      <c r="I51" s="1" vm="1503">
        <f ca="1"/>
        <v>41.07</v>
      </c>
      <c r="J51" s="1" vm="1504">
        <f ca="1"/>
        <v>177</v>
      </c>
      <c r="K51" s="1" vm="1505">
        <f ca="1"/>
        <v>60.3</v>
      </c>
      <c r="L51" s="1" vm="1506">
        <f ca="1"/>
        <v>362.76</v>
      </c>
      <c r="M51" s="1" vm="1507">
        <f ca="1"/>
        <v>772</v>
      </c>
      <c r="N51" s="1" vm="1508">
        <f ca="1"/>
        <v>189.3</v>
      </c>
      <c r="O51" s="1" vm="1509">
        <f ca="1"/>
        <v>129.09</v>
      </c>
      <c r="P51" s="1" vm="1510">
        <f ca="1"/>
        <v>107.57</v>
      </c>
      <c r="Q51" s="1" vm="1511">
        <f ca="1"/>
        <v>206.26</v>
      </c>
      <c r="R51" s="1" vm="1512">
        <f ca="1"/>
        <v>219.83</v>
      </c>
      <c r="S51" s="1" vm="1513">
        <f ca="1"/>
        <v>250.42</v>
      </c>
      <c r="T51" s="1" vm="1514">
        <f ca="1"/>
        <v>388.99</v>
      </c>
      <c r="U51" s="1" vm="1515">
        <f ca="1"/>
        <v>239.71</v>
      </c>
      <c r="V51" s="1" vm="521">
        <f ca="1"/>
        <v>118.53</v>
      </c>
      <c r="W51" s="1" vm="1516">
        <f ca="1"/>
        <v>22.77</v>
      </c>
      <c r="X51" s="1" vm="1517">
        <f ca="1"/>
        <v>61.15</v>
      </c>
      <c r="Y51" s="1" vm="1518">
        <f ca="1"/>
        <v>26.53</v>
      </c>
      <c r="Z51" s="1" vm="1519">
        <f ca="1"/>
        <v>526.57000000000005</v>
      </c>
      <c r="AA51" s="1" vm="1520">
        <f ca="1"/>
        <v>421.5</v>
      </c>
      <c r="AB51" s="1" vm="1521">
        <f ca="1"/>
        <v>134.16</v>
      </c>
      <c r="AC51" s="1" vm="1522">
        <f ca="1"/>
        <v>90.35</v>
      </c>
      <c r="AD51" s="1" vm="1523">
        <f ca="1"/>
        <v>62.26</v>
      </c>
      <c r="AE51" s="1" vm="1524">
        <f ca="1"/>
        <v>289.89</v>
      </c>
      <c r="AF51" s="1" vm="1525">
        <f ca="1"/>
        <v>588.67999999999995</v>
      </c>
    </row>
    <row r="52" spans="1:32" x14ac:dyDescent="0.25">
      <c r="A52" s="20">
        <f t="shared" ca="1" si="0"/>
        <v>45658</v>
      </c>
      <c r="B52" s="1" vm="1526">
        <f ca="1"/>
        <v>404.6</v>
      </c>
      <c r="C52" s="1" vm="1527">
        <f ca="1"/>
        <v>266.60000000000002</v>
      </c>
      <c r="D52" s="1" vm="1528">
        <f ca="1"/>
        <v>120.07</v>
      </c>
      <c r="E52" s="1" vm="1529">
        <f ca="1"/>
        <v>105.84</v>
      </c>
      <c r="F52" s="1" vm="1530">
        <f ca="1"/>
        <v>689.18</v>
      </c>
      <c r="G52" s="1" vm="1531">
        <f ca="1"/>
        <v>9.9205000000000005</v>
      </c>
      <c r="H52" s="1" vm="1532">
        <f ca="1"/>
        <v>27.06</v>
      </c>
      <c r="I52" s="1" vm="1533">
        <f ca="1"/>
        <v>39.57</v>
      </c>
      <c r="J52" s="1" vm="1534">
        <f ca="1"/>
        <v>176.52</v>
      </c>
      <c r="K52" s="1" vm="189">
        <f ca="1"/>
        <v>58.35</v>
      </c>
      <c r="L52" s="1" vm="1535">
        <f ca="1"/>
        <v>371.44</v>
      </c>
      <c r="M52" s="1" vm="1536">
        <f ca="1"/>
        <v>811.08</v>
      </c>
      <c r="N52" s="1" vm="1537">
        <f ca="1"/>
        <v>204.02</v>
      </c>
      <c r="O52" s="1" vm="1538">
        <f ca="1"/>
        <v>152.19999999999999</v>
      </c>
      <c r="P52" s="1" vm="1539">
        <f ca="1"/>
        <v>106.83</v>
      </c>
      <c r="Q52" s="1" vm="566">
        <f ca="1"/>
        <v>215.85</v>
      </c>
      <c r="R52" s="1" vm="1540">
        <f ca="1"/>
        <v>255.7</v>
      </c>
      <c r="S52" s="1" vm="1541">
        <f ca="1"/>
        <v>236</v>
      </c>
      <c r="T52" s="1" vm="1542">
        <f ca="1"/>
        <v>411.98</v>
      </c>
      <c r="U52" s="1" vm="1543">
        <f ca="1"/>
        <v>267.3</v>
      </c>
      <c r="V52" s="1" vm="1544">
        <f ca="1"/>
        <v>120.76</v>
      </c>
      <c r="W52" s="1" vm="1545">
        <f ca="1"/>
        <v>23.73</v>
      </c>
      <c r="X52" s="1" vm="1546">
        <f ca="1"/>
        <v>61.64</v>
      </c>
      <c r="Y52" s="1" vm="1547">
        <f ca="1"/>
        <v>26.52</v>
      </c>
      <c r="Z52" s="1" vm="1548">
        <f ca="1"/>
        <v>555.42999999999995</v>
      </c>
      <c r="AA52" s="1" vm="1549">
        <f ca="1"/>
        <v>415.06</v>
      </c>
      <c r="AB52" s="1" vm="1550">
        <f ca="1"/>
        <v>130.5</v>
      </c>
      <c r="AC52" s="1" vm="1551">
        <f ca="1"/>
        <v>98.16</v>
      </c>
      <c r="AD52" s="1" vm="1552">
        <f ca="1"/>
        <v>63.48</v>
      </c>
      <c r="AE52" s="1" vm="1553">
        <f ca="1"/>
        <v>288.7</v>
      </c>
      <c r="AF52" s="1" vm="1554">
        <f ca="1"/>
        <v>604.66</v>
      </c>
    </row>
    <row r="53" spans="1:32" x14ac:dyDescent="0.25">
      <c r="A53" s="20">
        <f t="shared" ca="1" si="0"/>
        <v>45689</v>
      </c>
      <c r="B53" s="1" vm="1555">
        <f ca="1"/>
        <v>292.98</v>
      </c>
      <c r="C53" s="1" vm="1556">
        <f ca="1"/>
        <v>246.1</v>
      </c>
      <c r="D53" s="1" vm="1557">
        <f ca="1"/>
        <v>124.92</v>
      </c>
      <c r="E53" s="1" vm="1558">
        <f ca="1"/>
        <v>93.81</v>
      </c>
      <c r="F53" s="1" vm="1559">
        <f ca="1"/>
        <v>668.2</v>
      </c>
      <c r="G53" s="1" vm="1560">
        <f ca="1"/>
        <v>9.5500000000000007</v>
      </c>
      <c r="H53" s="1" vm="1561">
        <f ca="1"/>
        <v>25.76</v>
      </c>
      <c r="I53" s="1" vm="1562">
        <f ca="1"/>
        <v>45.35</v>
      </c>
      <c r="J53" s="1" vm="1563">
        <f ca="1"/>
        <v>174.63</v>
      </c>
      <c r="K53" s="1" vm="1564">
        <f ca="1"/>
        <v>53.97</v>
      </c>
      <c r="L53" s="1" vm="1565">
        <f ca="1"/>
        <v>343.95</v>
      </c>
      <c r="M53" s="1" vm="1566">
        <f ca="1"/>
        <v>920.63</v>
      </c>
      <c r="N53" s="1" vm="1567">
        <f ca="1"/>
        <v>170.28</v>
      </c>
      <c r="O53" s="1" vm="1568">
        <f ca="1"/>
        <v>155.12</v>
      </c>
      <c r="P53" s="1" vm="1569">
        <f ca="1"/>
        <v>111.33</v>
      </c>
      <c r="Q53" s="1" vm="1570">
        <f ca="1"/>
        <v>228.93</v>
      </c>
      <c r="R53" s="1" vm="1571">
        <f ca="1"/>
        <v>252.44</v>
      </c>
      <c r="S53" s="1" vm="1572">
        <f ca="1"/>
        <v>241.84</v>
      </c>
      <c r="T53" s="1" vm="1573">
        <f ca="1"/>
        <v>396.6</v>
      </c>
      <c r="U53" s="1" vm="1574">
        <f ca="1"/>
        <v>264.64999999999998</v>
      </c>
      <c r="V53" s="1" vm="1575">
        <f ca="1"/>
        <v>115.1</v>
      </c>
      <c r="W53" s="1" vm="1576">
        <f ca="1"/>
        <v>27.41</v>
      </c>
      <c r="X53" s="1" vm="1577">
        <f ca="1"/>
        <v>64.819999999999993</v>
      </c>
      <c r="Y53" s="1" vm="1578">
        <f ca="1"/>
        <v>26.43</v>
      </c>
      <c r="Z53" s="1" vm="1579">
        <f ca="1"/>
        <v>576.30999999999995</v>
      </c>
      <c r="AA53" s="1" vm="1580">
        <f ca="1"/>
        <v>396.99</v>
      </c>
      <c r="AB53" s="1" vm="1581">
        <f ca="1"/>
        <v>156.37</v>
      </c>
      <c r="AC53" s="1" vm="1582">
        <f ca="1"/>
        <v>98.61</v>
      </c>
      <c r="AD53" s="1" vm="1583">
        <f ca="1"/>
        <v>71.209999999999994</v>
      </c>
      <c r="AE53" s="1" vm="1584">
        <f ca="1"/>
        <v>308.33</v>
      </c>
      <c r="AF53" s="1" vm="1585">
        <f ca="1"/>
        <v>597.04</v>
      </c>
    </row>
    <row r="54" spans="1:32" x14ac:dyDescent="0.25">
      <c r="A54" s="20">
        <f t="shared" ca="1" si="0"/>
        <v>45717</v>
      </c>
      <c r="B54" s="1" vm="1586">
        <f ca="1"/>
        <v>259.16000000000003</v>
      </c>
      <c r="C54" s="1" vm="1587">
        <f ca="1"/>
        <v>205.44</v>
      </c>
      <c r="D54" s="1" vm="1588">
        <f ca="1"/>
        <v>108.38</v>
      </c>
      <c r="E54" s="1" vm="1589">
        <f ca="1"/>
        <v>69.05</v>
      </c>
      <c r="F54" s="1" vm="1590">
        <f ca="1"/>
        <v>576.36</v>
      </c>
      <c r="G54" s="1" vm="1591">
        <f ca="1"/>
        <v>10.029999999999999</v>
      </c>
      <c r="H54" s="1" vm="1592">
        <f ca="1"/>
        <v>25.25</v>
      </c>
      <c r="I54" s="1" vm="1593">
        <f ca="1"/>
        <v>41.08</v>
      </c>
      <c r="J54" s="1" vm="1594">
        <f ca="1"/>
        <v>170.55</v>
      </c>
      <c r="K54" s="1" vm="1595">
        <f ca="1"/>
        <v>50.21</v>
      </c>
      <c r="L54" s="1" vm="1596">
        <f ca="1"/>
        <v>329.8</v>
      </c>
      <c r="M54" s="1" vm="1597">
        <f ca="1"/>
        <v>825.91</v>
      </c>
      <c r="N54" s="1" vm="1598">
        <f ca="1"/>
        <v>154.63999999999999</v>
      </c>
      <c r="O54" s="1" vm="1599">
        <f ca="1"/>
        <v>146.86000000000001</v>
      </c>
      <c r="P54" s="1" vm="110">
        <f ca="1"/>
        <v>118.93</v>
      </c>
      <c r="Q54" s="1" vm="1600">
        <f ca="1"/>
        <v>217.13</v>
      </c>
      <c r="R54" s="1" vm="1601">
        <f ca="1"/>
        <v>248.66</v>
      </c>
      <c r="S54" s="1" vm="1602">
        <f ca="1"/>
        <v>222.13</v>
      </c>
      <c r="T54" s="1" vm="1603">
        <f ca="1"/>
        <v>366.49</v>
      </c>
      <c r="U54" s="1" vm="1604">
        <f ca="1"/>
        <v>245.3</v>
      </c>
      <c r="V54" s="1" vm="1605">
        <f ca="1"/>
        <v>111.68</v>
      </c>
      <c r="W54" s="1" vm="1606">
        <f ca="1"/>
        <v>28.28</v>
      </c>
      <c r="X54" s="1" vm="1607">
        <f ca="1"/>
        <v>67.69</v>
      </c>
      <c r="Y54" s="1" vm="1608">
        <f ca="1"/>
        <v>25.34</v>
      </c>
      <c r="Z54" s="1" vm="1609">
        <f ca="1"/>
        <v>548.12</v>
      </c>
      <c r="AA54" s="1" vm="62">
        <f ca="1"/>
        <v>375.39</v>
      </c>
      <c r="AB54" s="1" vm="1610">
        <f ca="1"/>
        <v>157.36000000000001</v>
      </c>
      <c r="AC54" s="1" vm="1611">
        <f ca="1"/>
        <v>87.79</v>
      </c>
      <c r="AD54" s="1" vm="1612">
        <f ca="1"/>
        <v>71.62</v>
      </c>
      <c r="AE54" s="1" vm="1613">
        <f ca="1"/>
        <v>312.37</v>
      </c>
      <c r="AF54" s="1" vm="1614">
        <f ca="1"/>
        <v>561.9</v>
      </c>
    </row>
    <row r="55" spans="1:32" x14ac:dyDescent="0.25">
      <c r="A55" s="20">
        <f t="shared" ca="1" si="0"/>
        <v>45748</v>
      </c>
      <c r="B55" s="1" vm="1615">
        <f ca="1"/>
        <v>282.16000000000003</v>
      </c>
      <c r="C55" s="1" vm="1616">
        <f ca="1"/>
        <v>214.91</v>
      </c>
      <c r="D55" s="1" vm="1617">
        <f ca="1"/>
        <v>108.92</v>
      </c>
      <c r="E55" s="1" vm="1618">
        <f ca="1"/>
        <v>68.819999999999993</v>
      </c>
      <c r="F55" s="1" vm="1619">
        <f ca="1"/>
        <v>549</v>
      </c>
      <c r="G55" s="1" vm="1620">
        <f ca="1"/>
        <v>10.01</v>
      </c>
      <c r="H55" s="1" vm="1621">
        <f ca="1"/>
        <v>22.42</v>
      </c>
      <c r="I55" s="1" vm="1622">
        <f ca="1"/>
        <v>34.53</v>
      </c>
      <c r="J55" s="1" vm="1623">
        <f ca="1"/>
        <v>183.24</v>
      </c>
      <c r="K55" s="1" vm="1624">
        <f ca="1"/>
        <v>50.52</v>
      </c>
      <c r="L55" s="1" vm="1625">
        <f ca="1"/>
        <v>309.27</v>
      </c>
      <c r="M55" s="1" vm="1626">
        <f ca="1"/>
        <v>898.95</v>
      </c>
      <c r="N55" s="1" vm="1627">
        <f ca="1"/>
        <v>158.80000000000001</v>
      </c>
      <c r="O55" s="1" vm="1628">
        <f ca="1"/>
        <v>138.91</v>
      </c>
      <c r="P55" s="1" vm="1629">
        <f ca="1"/>
        <v>105.63</v>
      </c>
      <c r="Q55" s="1" vm="1630">
        <f ca="1"/>
        <v>186.87</v>
      </c>
      <c r="R55" s="1" vm="1631">
        <f ca="1"/>
        <v>241.82</v>
      </c>
      <c r="S55" s="1" vm="1632">
        <f ca="1"/>
        <v>212.5</v>
      </c>
      <c r="T55" s="1" vm="1633">
        <f ca="1"/>
        <v>360.49</v>
      </c>
      <c r="U55" s="1" vm="1634">
        <f ca="1"/>
        <v>244.62</v>
      </c>
      <c r="V55" s="1" vm="1635">
        <f ca="1"/>
        <v>102.71</v>
      </c>
      <c r="W55" s="1" vm="1636">
        <f ca="1"/>
        <v>27.7</v>
      </c>
      <c r="X55" s="1" vm="1637">
        <f ca="1"/>
        <v>72.209999999999994</v>
      </c>
      <c r="Y55" s="1" vm="1638">
        <f ca="1"/>
        <v>24.41</v>
      </c>
      <c r="Z55" s="1" vm="1639">
        <f ca="1"/>
        <v>548.05999999999995</v>
      </c>
      <c r="AA55" s="1" vm="1640">
        <f ca="1"/>
        <v>395.26</v>
      </c>
      <c r="AB55" s="1" vm="1641">
        <f ca="1"/>
        <v>150.44</v>
      </c>
      <c r="AC55" s="1" vm="1642">
        <f ca="1"/>
        <v>97.25</v>
      </c>
      <c r="AD55" s="1" vm="1643">
        <f ca="1"/>
        <v>72.55</v>
      </c>
      <c r="AE55" s="1" vm="1644">
        <f ca="1"/>
        <v>319.64999999999998</v>
      </c>
      <c r="AF55" s="1" vm="1645">
        <f ca="1"/>
        <v>557.96</v>
      </c>
    </row>
    <row r="56" spans="1:32" x14ac:dyDescent="0.25">
      <c r="A56" s="20">
        <f t="shared" ca="1" si="0"/>
        <v>45778</v>
      </c>
      <c r="B56" s="1" vm="1646">
        <f ca="1"/>
        <v>346.46</v>
      </c>
      <c r="C56" s="1" vm="1647">
        <f ca="1"/>
        <v>256.97000000000003</v>
      </c>
      <c r="D56" s="1" vm="1648">
        <f ca="1"/>
        <v>135.13</v>
      </c>
      <c r="E56" s="1" vm="1649">
        <f ca="1"/>
        <v>79.444999999999993</v>
      </c>
      <c r="F56" s="1" vm="1650">
        <f ca="1"/>
        <v>647.49</v>
      </c>
      <c r="G56" s="1" vm="1651">
        <f ca="1"/>
        <v>10.38</v>
      </c>
      <c r="H56" s="1" vm="1652">
        <f ca="1"/>
        <v>24.21</v>
      </c>
      <c r="I56" s="1" vm="1653">
        <f ca="1"/>
        <v>45.25</v>
      </c>
      <c r="J56" s="1" vm="1654">
        <f ca="1"/>
        <v>207.32</v>
      </c>
      <c r="K56" s="1" vm="1655">
        <f ca="1"/>
        <v>50.08</v>
      </c>
      <c r="L56" s="1" vm="1656">
        <f ca="1"/>
        <v>348.03</v>
      </c>
      <c r="M56" s="1" vm="1657">
        <f ca="1"/>
        <v>737.67</v>
      </c>
      <c r="N56" s="1" vm="1658">
        <f ca="1"/>
        <v>171.74</v>
      </c>
      <c r="O56" s="1" vm="1659">
        <f ca="1"/>
        <v>148.35</v>
      </c>
      <c r="P56" s="1" vm="1660">
        <f ca="1"/>
        <v>102.3</v>
      </c>
      <c r="Q56" s="1" vm="1661">
        <f ca="1"/>
        <v>202.97</v>
      </c>
      <c r="R56" s="1" vm="1662">
        <f ca="1"/>
        <v>259.06</v>
      </c>
      <c r="S56" s="1" vm="1663">
        <f ca="1"/>
        <v>200.85</v>
      </c>
      <c r="T56" s="1" vm="1664">
        <f ca="1"/>
        <v>368.29</v>
      </c>
      <c r="U56" s="1" vm="1665">
        <f ca="1"/>
        <v>264</v>
      </c>
      <c r="V56" s="1" vm="1666">
        <f ca="1"/>
        <v>103.89</v>
      </c>
      <c r="W56" s="1" vm="1667">
        <f ca="1"/>
        <v>27.8</v>
      </c>
      <c r="X56" s="1" vm="1668">
        <f ca="1"/>
        <v>68.23</v>
      </c>
      <c r="Y56" s="1" vm="1669">
        <f ca="1"/>
        <v>23.49</v>
      </c>
      <c r="Z56" s="1" vm="1670">
        <f ca="1"/>
        <v>585.6</v>
      </c>
      <c r="AA56" s="1" vm="1671">
        <f ca="1"/>
        <v>460.36</v>
      </c>
      <c r="AB56" s="1" vm="1672">
        <f ca="1"/>
        <v>143.94</v>
      </c>
      <c r="AC56" s="1" vm="1673">
        <f ca="1"/>
        <v>98.72</v>
      </c>
      <c r="AD56" s="1" vm="1674">
        <f ca="1"/>
        <v>72.099999999999994</v>
      </c>
      <c r="AE56" s="1" vm="1675">
        <f ca="1"/>
        <v>313.85000000000002</v>
      </c>
      <c r="AF56" s="1" vm="1676">
        <f ca="1"/>
        <v>592.15</v>
      </c>
    </row>
    <row r="57" spans="1:32" x14ac:dyDescent="0.25">
      <c r="A57" s="20">
        <f t="shared" ca="1" si="0"/>
        <v>45809</v>
      </c>
      <c r="B57" s="1" vm="1677">
        <f ca="1"/>
        <v>317.66000000000003</v>
      </c>
      <c r="C57" s="1" vm="1678">
        <f ca="1"/>
        <v>313.14</v>
      </c>
      <c r="D57" s="1" vm="1679">
        <f ca="1"/>
        <v>157.99</v>
      </c>
      <c r="E57" s="1" vm="1680">
        <f ca="1"/>
        <v>79.63</v>
      </c>
      <c r="F57" s="1" vm="1681">
        <f ca="1"/>
        <v>738.09</v>
      </c>
      <c r="G57" s="1" vm="1682">
        <f ca="1"/>
        <v>10.85</v>
      </c>
      <c r="H57" s="1" vm="1683">
        <f ca="1"/>
        <v>23.6</v>
      </c>
      <c r="I57" s="1" vm="1684">
        <f ca="1"/>
        <v>48.94</v>
      </c>
      <c r="J57" s="1" vm="1685">
        <f ca="1"/>
        <v>209.53</v>
      </c>
      <c r="K57" s="1" vm="1686">
        <f ca="1"/>
        <v>56.15</v>
      </c>
      <c r="L57" s="1" vm="1687">
        <f ca="1"/>
        <v>388.21</v>
      </c>
      <c r="M57" s="1" vm="1688">
        <f ca="1"/>
        <v>779.53</v>
      </c>
      <c r="N57" s="1" vm="1689">
        <f ca="1"/>
        <v>176.23</v>
      </c>
      <c r="O57" s="1" vm="1690">
        <f ca="1"/>
        <v>152.24</v>
      </c>
      <c r="P57" s="1" vm="1691">
        <f ca="1"/>
        <v>107.8</v>
      </c>
      <c r="Q57" s="1" vm="1692">
        <f ca="1"/>
        <v>208.72</v>
      </c>
      <c r="R57" s="1" vm="1693">
        <f ca="1"/>
        <v>294.77999999999997</v>
      </c>
      <c r="S57" s="1" vm="1694">
        <f ca="1"/>
        <v>205.17</v>
      </c>
      <c r="T57" s="1" vm="1695">
        <f ca="1"/>
        <v>366.64</v>
      </c>
      <c r="U57" s="1" vm="1696">
        <f ca="1"/>
        <v>289.91000000000003</v>
      </c>
      <c r="V57" s="1" vm="1697">
        <f ca="1"/>
        <v>107.44</v>
      </c>
      <c r="W57" s="1" vm="1428">
        <f ca="1"/>
        <v>28.94</v>
      </c>
      <c r="X57" s="1" vm="1698">
        <f ca="1"/>
        <v>71.73</v>
      </c>
      <c r="Y57" s="1" vm="1699">
        <f ca="1"/>
        <v>24.24</v>
      </c>
      <c r="Z57" s="1" vm="1700">
        <f ca="1"/>
        <v>561.94000000000005</v>
      </c>
      <c r="AA57" s="1" vm="1701">
        <f ca="1"/>
        <v>497.41</v>
      </c>
      <c r="AB57" s="1" vm="1702">
        <f ca="1"/>
        <v>148.18</v>
      </c>
      <c r="AC57" s="1" vm="1120">
        <f ca="1"/>
        <v>97.78</v>
      </c>
      <c r="AD57" s="1" vm="1703">
        <f ca="1"/>
        <v>70.75</v>
      </c>
      <c r="AE57" s="1" vm="1704">
        <f ca="1"/>
        <v>292.17</v>
      </c>
      <c r="AF57" s="1" vm="1705">
        <f ca="1"/>
        <v>620.9</v>
      </c>
    </row>
    <row r="58" spans="1:32" x14ac:dyDescent="0.25">
      <c r="A58" s="20">
        <f t="shared" ca="1" si="0"/>
        <v>45839</v>
      </c>
      <c r="B58" s="1" vm="1706">
        <f ca="1"/>
        <v>308.27</v>
      </c>
      <c r="C58" s="1" vm="1707">
        <f ca="1"/>
        <v>317.87</v>
      </c>
      <c r="D58" s="1" vm="1708">
        <f ca="1"/>
        <v>177.87</v>
      </c>
      <c r="E58" s="1" vm="1709">
        <f ca="1"/>
        <v>88.31</v>
      </c>
      <c r="F58" s="1" vm="1710">
        <f ca="1"/>
        <v>773.44</v>
      </c>
      <c r="G58" s="1" vm="1711">
        <f ca="1"/>
        <v>11.07</v>
      </c>
      <c r="H58" s="1" vm="1712">
        <f ca="1"/>
        <v>24.33</v>
      </c>
      <c r="I58" s="1" vm="1713">
        <f ca="1"/>
        <v>42.41</v>
      </c>
      <c r="J58" s="1" vm="1714">
        <f ca="1"/>
        <v>221.84</v>
      </c>
      <c r="K58" s="1" vm="436">
        <f ca="1"/>
        <v>42.88</v>
      </c>
      <c r="L58" s="1" vm="1715">
        <f ca="1"/>
        <v>438.02</v>
      </c>
      <c r="M58" s="1" vm="1716">
        <f ca="1"/>
        <v>740.07</v>
      </c>
      <c r="N58" s="1" vm="1717">
        <f ca="1"/>
        <v>191.9</v>
      </c>
      <c r="O58" s="1" vm="1718">
        <f ca="1"/>
        <v>149.22</v>
      </c>
      <c r="P58" s="1" vm="1719">
        <f ca="1"/>
        <v>111.64</v>
      </c>
      <c r="Q58" s="1" vm="1720">
        <f ca="1"/>
        <v>218.76</v>
      </c>
      <c r="R58" s="1" vm="1721">
        <f ca="1"/>
        <v>253.15</v>
      </c>
      <c r="S58" s="1" vm="1722">
        <f ca="1"/>
        <v>207.57</v>
      </c>
      <c r="T58" s="1" vm="1723">
        <f ca="1"/>
        <v>367.51</v>
      </c>
      <c r="U58" s="1" vm="1724">
        <f ca="1"/>
        <v>296.24</v>
      </c>
      <c r="V58" s="1" vm="1725">
        <f ca="1"/>
        <v>103.58</v>
      </c>
      <c r="W58" s="1" vm="1576">
        <f ca="1"/>
        <v>27.41</v>
      </c>
      <c r="X58" s="1" vm="1726">
        <f ca="1"/>
        <v>70.099999999999994</v>
      </c>
      <c r="Y58" s="1" vm="1727">
        <f ca="1"/>
        <v>23.29</v>
      </c>
      <c r="Z58" s="1" vm="1728">
        <f ca="1"/>
        <v>566.47</v>
      </c>
      <c r="AA58" s="1" vm="1729">
        <f ca="1"/>
        <v>533.5</v>
      </c>
      <c r="AB58" s="1" vm="1730">
        <f ca="1"/>
        <v>144.15</v>
      </c>
      <c r="AC58" s="1" vm="1731">
        <f ca="1"/>
        <v>97.98</v>
      </c>
      <c r="AD58" s="1" vm="1732">
        <f ca="1"/>
        <v>67.89</v>
      </c>
      <c r="AE58" s="1" vm="1733">
        <f ca="1"/>
        <v>300.07</v>
      </c>
      <c r="AF58" s="1" vm="1734">
        <f ca="1"/>
        <v>634.9</v>
      </c>
    </row>
    <row r="59" spans="1:32" x14ac:dyDescent="0.25">
      <c r="A59" s="20">
        <f t="shared" ca="1" si="0"/>
        <v>45870</v>
      </c>
      <c r="B59" s="1" vm="1735">
        <f ca="1"/>
        <v>333.87</v>
      </c>
      <c r="C59" s="1" vm="1736">
        <f ca="1"/>
        <v>363.22</v>
      </c>
      <c r="D59" s="1" vm="1737">
        <f ca="1"/>
        <v>174.18</v>
      </c>
      <c r="E59" s="1" vm="1738">
        <f ca="1"/>
        <v>105</v>
      </c>
      <c r="F59" s="1" vm="1739">
        <f ca="1"/>
        <v>738.7</v>
      </c>
      <c r="G59" s="1" vm="1740">
        <f ca="1"/>
        <v>11.77</v>
      </c>
      <c r="H59" s="1" vm="1741">
        <f ca="1"/>
        <v>29.12</v>
      </c>
      <c r="I59" s="1" vm="1742">
        <f ca="1"/>
        <v>48.71</v>
      </c>
      <c r="J59" s="1" vm="1743">
        <f ca="1"/>
        <v>234.68</v>
      </c>
      <c r="K59" s="1" vm="1744">
        <f ca="1"/>
        <v>42.14</v>
      </c>
      <c r="L59" s="1" vm="1745">
        <f ca="1"/>
        <v>419.04</v>
      </c>
      <c r="M59" s="1" vm="1746">
        <f ca="1"/>
        <v>732.58</v>
      </c>
      <c r="N59" s="1" vm="1747">
        <f ca="1"/>
        <v>212.91</v>
      </c>
      <c r="O59" s="1" vm="1748">
        <f ca="1"/>
        <v>155.53</v>
      </c>
      <c r="P59" s="1" vm="1749">
        <f ca="1"/>
        <v>114.29</v>
      </c>
      <c r="Q59" s="1" vm="1631">
        <f ca="1"/>
        <v>241.82</v>
      </c>
      <c r="R59" s="1" vm="1750">
        <f ca="1"/>
        <v>243.49</v>
      </c>
      <c r="S59" s="1" vm="1751">
        <f ca="1"/>
        <v>232.14</v>
      </c>
      <c r="T59" s="1" vm="1752">
        <f ca="1"/>
        <v>406.77</v>
      </c>
      <c r="U59" s="1" vm="1753">
        <f ca="1"/>
        <v>301.42</v>
      </c>
      <c r="V59" s="1" vm="874">
        <f ca="1"/>
        <v>109.66</v>
      </c>
      <c r="W59" s="1" vm="1754">
        <f ca="1"/>
        <v>29.29</v>
      </c>
      <c r="X59" s="1" vm="1755">
        <f ca="1"/>
        <v>67.84</v>
      </c>
      <c r="Y59" s="1" vm="1756">
        <f ca="1"/>
        <v>24.76</v>
      </c>
      <c r="Z59" s="1" vm="1757">
        <f ca="1"/>
        <v>595.29</v>
      </c>
      <c r="AA59" s="1" vm="1758">
        <f ca="1"/>
        <v>506.69</v>
      </c>
      <c r="AB59" s="1" vm="1759">
        <f ca="1"/>
        <v>146.97</v>
      </c>
      <c r="AC59" s="1" vm="1760">
        <f ca="1"/>
        <v>96.98</v>
      </c>
      <c r="AD59" s="1" vm="1761">
        <f ca="1"/>
        <v>68.989999999999995</v>
      </c>
      <c r="AE59" s="1" vm="1762">
        <f ca="1"/>
        <v>313.54000000000002</v>
      </c>
      <c r="AF59" s="1" vm="1763">
        <f ca="1"/>
        <v>648.32000000000005</v>
      </c>
    </row>
    <row r="60" spans="1:32" x14ac:dyDescent="0.25">
      <c r="A60" s="20">
        <f t="shared" ca="1" si="0"/>
        <v>45901</v>
      </c>
      <c r="B60" s="1" vm="1764">
        <f ca="1"/>
        <v>444.72</v>
      </c>
      <c r="C60" s="1" vm="1765">
        <f ca="1"/>
        <v>323.58</v>
      </c>
      <c r="D60" s="1" vm="1766">
        <f ca="1"/>
        <v>186.58</v>
      </c>
      <c r="E60" s="1" vm="1767">
        <f ca="1"/>
        <v>96.5</v>
      </c>
      <c r="F60" s="1" vm="1768">
        <f ca="1"/>
        <v>734.38</v>
      </c>
      <c r="G60" s="1" vm="1769">
        <f ca="1"/>
        <v>11.96</v>
      </c>
      <c r="H60" s="1" vm="1770">
        <f ca="1"/>
        <v>27.9</v>
      </c>
      <c r="I60" s="1" vm="91">
        <f ca="1"/>
        <v>48.15</v>
      </c>
      <c r="J60" s="1" vm="1771">
        <f ca="1"/>
        <v>215.83</v>
      </c>
      <c r="K60" s="1" vm="1772">
        <f ca="1"/>
        <v>39.19</v>
      </c>
      <c r="L60" s="1" vm="1773">
        <f ca="1"/>
        <v>477.15</v>
      </c>
      <c r="M60" s="1" vm="1774">
        <f ca="1"/>
        <v>763</v>
      </c>
      <c r="N60" s="1" vm="1775">
        <f ca="1"/>
        <v>243.1</v>
      </c>
      <c r="O60" s="1" vm="1776">
        <f ca="1"/>
        <v>155.18</v>
      </c>
      <c r="P60" s="1" vm="1777">
        <f ca="1"/>
        <v>112.75</v>
      </c>
      <c r="Q60" s="1" vm="1778">
        <f ca="1"/>
        <v>246.22</v>
      </c>
      <c r="R60" s="1" vm="1615">
        <f ca="1"/>
        <v>282.16000000000003</v>
      </c>
      <c r="S60" s="1" vm="1779">
        <f ca="1"/>
        <v>254.63</v>
      </c>
      <c r="T60" s="1" vm="1780">
        <f ca="1"/>
        <v>405.19</v>
      </c>
      <c r="U60" s="1" vm="1781">
        <f ca="1"/>
        <v>315.43</v>
      </c>
      <c r="V60" s="1" vm="954">
        <f ca="1"/>
        <v>103.74</v>
      </c>
      <c r="W60" s="1" vm="1782">
        <f ca="1"/>
        <v>28.24</v>
      </c>
      <c r="X60" s="1" vm="1783">
        <f ca="1"/>
        <v>67.41</v>
      </c>
      <c r="Y60" s="1" vm="1784">
        <f ca="1"/>
        <v>25.48</v>
      </c>
      <c r="Z60" s="1" vm="1785">
        <f ca="1"/>
        <v>568.80999999999995</v>
      </c>
      <c r="AA60" s="1" vm="1786">
        <f ca="1"/>
        <v>517.95000000000005</v>
      </c>
      <c r="AB60" s="1" vm="1787">
        <f ca="1"/>
        <v>152</v>
      </c>
      <c r="AC60" s="1" vm="1788">
        <f ca="1"/>
        <v>103.06</v>
      </c>
      <c r="AD60" s="1" vm="1789">
        <f ca="1"/>
        <v>66.319999999999993</v>
      </c>
      <c r="AE60" s="1" vm="1790">
        <f ca="1"/>
        <v>303.89</v>
      </c>
      <c r="AF60" s="1" vm="1791">
        <f ca="1"/>
        <v>669.3</v>
      </c>
    </row>
    <row r="61" spans="1:32" x14ac:dyDescent="0.25">
      <c r="A61" s="20">
        <f t="shared" ca="1" si="0"/>
        <v>45931</v>
      </c>
      <c r="B61" s="1" vm="1792">
        <f ca="1"/>
        <v>456.56</v>
      </c>
      <c r="C61" s="1" vm="1793">
        <f ca="1"/>
        <v>286.83</v>
      </c>
      <c r="D61" s="1" vm="1794">
        <f ca="1"/>
        <v>202.49</v>
      </c>
      <c r="E61" s="1" vm="1795">
        <f ca="1"/>
        <v>94.04</v>
      </c>
      <c r="F61" s="1" vm="1796">
        <f ca="1"/>
        <v>648.35</v>
      </c>
      <c r="G61" s="1" vm="1797">
        <f ca="1"/>
        <v>13.13</v>
      </c>
      <c r="H61" s="1" vm="1798">
        <f ca="1"/>
        <v>26.98</v>
      </c>
      <c r="I61" s="1" vm="1799">
        <f ca="1"/>
        <v>50.81</v>
      </c>
      <c r="J61" s="1" vm="1800">
        <f ca="1"/>
        <v>201.02</v>
      </c>
      <c r="K61" s="1" vm="1801">
        <f ca="1"/>
        <v>31.69</v>
      </c>
      <c r="L61" s="1" vm="1802">
        <f ca="1"/>
        <v>577.26</v>
      </c>
      <c r="M61" s="1" vm="1803">
        <f ca="1"/>
        <v>862.86</v>
      </c>
      <c r="N61" s="1" vm="1804">
        <f ca="1"/>
        <v>281.19</v>
      </c>
      <c r="O61" s="1" vm="1805">
        <f ca="1"/>
        <v>166.5</v>
      </c>
      <c r="P61" s="1" vm="1806">
        <f ca="1"/>
        <v>114.36</v>
      </c>
      <c r="Q61" s="1" vm="1807">
        <f ca="1"/>
        <v>213.94</v>
      </c>
      <c r="R61" s="1" vm="1808">
        <f ca="1"/>
        <v>307.41000000000003</v>
      </c>
      <c r="S61" s="1" vm="1809">
        <f ca="1"/>
        <v>270.37</v>
      </c>
      <c r="T61" s="1" vm="1810">
        <f ca="1"/>
        <v>379.59</v>
      </c>
      <c r="U61" s="1" vm="1811">
        <f ca="1"/>
        <v>311.12</v>
      </c>
      <c r="V61" s="1" vm="1812">
        <f ca="1"/>
        <v>104</v>
      </c>
      <c r="W61" s="1" vm="1813">
        <f ca="1"/>
        <v>24.75</v>
      </c>
      <c r="X61" s="1" vm="1814">
        <f ca="1"/>
        <v>63.63</v>
      </c>
      <c r="Y61" s="1" vm="1815">
        <f ca="1"/>
        <v>24.65</v>
      </c>
      <c r="Z61" s="1" vm="1816">
        <f ca="1"/>
        <v>551.99</v>
      </c>
      <c r="AA61" s="1" vm="1817">
        <f ca="1"/>
        <v>517.80999999999995</v>
      </c>
      <c r="AB61" s="1" vm="1818">
        <f ca="1"/>
        <v>138.21</v>
      </c>
      <c r="AC61" s="1" vm="1819">
        <f ca="1"/>
        <v>101.18</v>
      </c>
      <c r="AD61" s="1" vm="1820">
        <f ca="1"/>
        <v>68.900000000000006</v>
      </c>
      <c r="AE61" s="1" vm="1821">
        <f ca="1"/>
        <v>298.43</v>
      </c>
      <c r="AF61" s="1" vm="1822">
        <f ca="1"/>
        <v>685.23</v>
      </c>
    </row>
    <row r="62" spans="1:32" x14ac:dyDescent="0.25">
      <c r="A62" s="20">
        <f t="shared" ca="1" si="0"/>
        <v>45962</v>
      </c>
      <c r="B62" s="1" vm="1256">
        <f ca="1"/>
        <v>430.17</v>
      </c>
      <c r="C62" s="1" vm="1823">
        <f ca="1"/>
        <v>266.25</v>
      </c>
      <c r="D62" s="1" vm="1504">
        <f ca="1"/>
        <v>177</v>
      </c>
      <c r="E62" s="1" vm="1824">
        <f ca="1"/>
        <v>101.96</v>
      </c>
      <c r="F62" s="1" vm="1825">
        <f ca="1"/>
        <v>647.95000000000005</v>
      </c>
      <c r="G62" s="1" vm="1826">
        <f ca="1"/>
        <v>13.28</v>
      </c>
      <c r="H62" s="1" vm="1827">
        <f ca="1"/>
        <v>24.49</v>
      </c>
      <c r="I62" s="1" vm="1828">
        <f ca="1"/>
        <v>42.07</v>
      </c>
      <c r="J62" s="1" vm="1829">
        <f ca="1"/>
        <v>189</v>
      </c>
      <c r="K62" s="1" vm="1830">
        <f ca="1"/>
        <v>34.520000000000003</v>
      </c>
      <c r="L62" s="1" vm="1831">
        <f ca="1"/>
        <v>575.76</v>
      </c>
      <c r="M62" s="1" vm="1832">
        <f ca="1"/>
        <v>1075.47</v>
      </c>
      <c r="N62" s="1" vm="1833">
        <f ca="1"/>
        <v>320.18</v>
      </c>
      <c r="O62" s="1" vm="1834">
        <f ca="1"/>
        <v>172.05</v>
      </c>
      <c r="P62" s="1" vm="1835">
        <f ca="1"/>
        <v>115.92</v>
      </c>
      <c r="Q62" s="1" vm="1836">
        <f ca="1"/>
        <v>195.32</v>
      </c>
      <c r="R62" s="1" vm="1837">
        <f ca="1"/>
        <v>308.58</v>
      </c>
      <c r="S62" s="1" vm="1838">
        <f ca="1"/>
        <v>278.85000000000002</v>
      </c>
      <c r="T62" s="1" vm="1839">
        <f ca="1"/>
        <v>356.92</v>
      </c>
      <c r="U62" s="1" vm="1840">
        <f ca="1"/>
        <v>313.08</v>
      </c>
      <c r="V62" s="1" vm="1841">
        <f ca="1"/>
        <v>108.25</v>
      </c>
      <c r="W62" s="1" vm="1842">
        <f ca="1"/>
        <v>26.02</v>
      </c>
      <c r="X62" s="1" vm="1843">
        <f ca="1"/>
        <v>67.28</v>
      </c>
      <c r="Y62" s="1" vm="1844">
        <f ca="1"/>
        <v>25.74</v>
      </c>
      <c r="Z62" s="1" vm="1845">
        <f ca="1"/>
        <v>550.53</v>
      </c>
      <c r="AA62" s="1" vm="1846">
        <f ca="1"/>
        <v>492.01</v>
      </c>
      <c r="AB62" s="1" vm="1847">
        <f ca="1"/>
        <v>153.21</v>
      </c>
      <c r="AC62" s="1" vm="1848">
        <f ca="1"/>
        <v>110.51</v>
      </c>
      <c r="AD62" s="1" vm="1849">
        <f ca="1"/>
        <v>73.12</v>
      </c>
      <c r="AE62" s="1" vm="1850">
        <f ca="1"/>
        <v>311.82</v>
      </c>
      <c r="AF62" s="1" vm="1851">
        <f ca="1"/>
        <v>686.88</v>
      </c>
    </row>
    <row r="65" spans="1:31" s="21" customFormat="1" x14ac:dyDescent="0.25">
      <c r="A65" s="1"/>
      <c r="B65" s="1"/>
      <c r="C65" s="1"/>
      <c r="D65" s="20">
        <f ca="1">startDate</f>
        <v>44136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s="21" customFormat="1" x14ac:dyDescent="0.25">
      <c r="A66" s="1"/>
      <c r="B66" s="1"/>
      <c r="C66" s="1"/>
      <c r="D66" s="20">
        <f ca="1">endDate</f>
        <v>45989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6267C-9F0F-4FE0-9059-3A9E66B31A33}">
  <dimension ref="A1:BN66"/>
  <sheetViews>
    <sheetView workbookViewId="0">
      <pane xSplit="1" ySplit="3" topLeftCell="B46" activePane="bottomRight" state="frozen"/>
      <selection pane="topRight" activeCell="B1" sqref="B1"/>
      <selection pane="bottomLeft" activeCell="A4" sqref="A4"/>
      <selection pane="bottomRight" activeCell="C67" sqref="C67"/>
    </sheetView>
  </sheetViews>
  <sheetFormatPr defaultColWidth="9" defaultRowHeight="15.75" x14ac:dyDescent="0.25"/>
  <cols>
    <col min="1" max="1" width="5.3125" style="1" customWidth="1"/>
    <col min="2" max="2" width="5.4375" style="1" bestFit="1" customWidth="1"/>
    <col min="3" max="3" width="4.625" style="1" customWidth="1"/>
    <col min="4" max="4" width="5.4375" style="1" bestFit="1" customWidth="1"/>
    <col min="5" max="5" width="4.8125" style="1" customWidth="1"/>
    <col min="6" max="6" width="5.4375" style="1" bestFit="1" customWidth="1"/>
    <col min="7" max="7" width="4.25" style="1" bestFit="1" customWidth="1"/>
    <col min="8" max="8" width="5.4375" style="1" bestFit="1" customWidth="1"/>
    <col min="9" max="9" width="4.3125" style="1" customWidth="1"/>
    <col min="10" max="10" width="5.4375" style="1" bestFit="1" customWidth="1"/>
    <col min="11" max="11" width="4.5625" style="1" customWidth="1"/>
    <col min="12" max="12" width="5.4375" style="1" bestFit="1" customWidth="1"/>
    <col min="13" max="13" width="4.25" style="1" customWidth="1"/>
    <col min="14" max="14" width="5.4375" style="1" bestFit="1" customWidth="1"/>
    <col min="15" max="15" width="4.625" style="1" customWidth="1"/>
    <col min="16" max="16" width="5.4375" style="1" bestFit="1" customWidth="1"/>
    <col min="17" max="17" width="4.125" style="1" customWidth="1"/>
    <col min="18" max="18" width="5.4375" style="1" bestFit="1" customWidth="1"/>
    <col min="19" max="19" width="4.3125" style="1" customWidth="1"/>
    <col min="20" max="20" width="5.4375" style="1" bestFit="1" customWidth="1"/>
    <col min="21" max="21" width="4.75" style="1" customWidth="1"/>
    <col min="22" max="22" width="5.4375" style="1" bestFit="1" customWidth="1"/>
    <col min="23" max="23" width="4.875" style="1" customWidth="1"/>
    <col min="24" max="24" width="5.4375" style="1" bestFit="1" customWidth="1"/>
    <col min="25" max="25" width="4.625" style="1" customWidth="1"/>
    <col min="26" max="26" width="5.4375" style="1" bestFit="1" customWidth="1"/>
    <col min="27" max="27" width="4.375" style="1" customWidth="1"/>
    <col min="28" max="28" width="5.4375" style="1" bestFit="1" customWidth="1"/>
    <col min="29" max="29" width="4.875" style="1" customWidth="1"/>
    <col min="30" max="30" width="5.4375" style="1" bestFit="1" customWidth="1"/>
    <col min="31" max="31" width="4.1875" style="1" customWidth="1"/>
    <col min="32" max="32" width="5.4375" style="1" bestFit="1" customWidth="1"/>
    <col min="33" max="33" width="4.625" style="1" customWidth="1"/>
    <col min="34" max="34" width="5.4375" style="1" bestFit="1" customWidth="1"/>
    <col min="35" max="35" width="4.375" style="1" customWidth="1"/>
    <col min="36" max="36" width="5.4375" style="1" bestFit="1" customWidth="1"/>
    <col min="37" max="37" width="4.5625" style="1" customWidth="1"/>
    <col min="38" max="38" width="5.4375" style="1" bestFit="1" customWidth="1"/>
    <col min="39" max="39" width="4.5" style="1" customWidth="1"/>
    <col min="40" max="40" width="5.4375" style="1" bestFit="1" customWidth="1"/>
    <col min="41" max="41" width="4.25" style="1" customWidth="1"/>
    <col min="42" max="42" width="5.4375" style="1" bestFit="1" customWidth="1"/>
    <col min="43" max="43" width="4.1875" style="1" customWidth="1"/>
    <col min="44" max="44" width="5.4375" style="1" bestFit="1" customWidth="1"/>
    <col min="45" max="45" width="4.4375" style="1" customWidth="1"/>
    <col min="46" max="46" width="5.4375" style="1" bestFit="1" customWidth="1"/>
    <col min="47" max="47" width="4.5625" style="1" customWidth="1"/>
    <col min="48" max="48" width="5.4375" style="1" bestFit="1" customWidth="1"/>
    <col min="49" max="49" width="4.5625" style="1" customWidth="1"/>
    <col min="50" max="50" width="5.4375" style="1" bestFit="1" customWidth="1"/>
    <col min="51" max="51" width="4.25" style="1" customWidth="1"/>
    <col min="52" max="52" width="5.4375" style="1" bestFit="1" customWidth="1"/>
    <col min="53" max="53" width="4.25" style="1" customWidth="1"/>
    <col min="54" max="54" width="5.4375" style="1" bestFit="1" customWidth="1"/>
    <col min="55" max="55" width="4.1875" style="1" customWidth="1"/>
    <col min="56" max="56" width="5.4375" style="1" bestFit="1" customWidth="1"/>
    <col min="57" max="57" width="4.125" style="1" customWidth="1"/>
    <col min="58" max="58" width="5.4375" style="1" bestFit="1" customWidth="1"/>
    <col min="59" max="59" width="4.25" style="1" customWidth="1"/>
    <col min="60" max="60" width="5.4375" style="1" bestFit="1" customWidth="1"/>
    <col min="61" max="61" width="4.5" style="1" customWidth="1"/>
    <col min="62" max="62" width="5.0625" style="1" customWidth="1"/>
    <col min="63" max="63" width="4.8125" style="1" bestFit="1" customWidth="1"/>
    <col min="64" max="64" width="3.375" style="1" bestFit="1" customWidth="1"/>
    <col min="65" max="16384" width="9" style="1"/>
  </cols>
  <sheetData>
    <row r="1" spans="1:66" s="15" customFormat="1" ht="15" x14ac:dyDescent="0.2">
      <c r="B1" s="42" t="s">
        <v>12</v>
      </c>
      <c r="C1" s="42"/>
      <c r="D1" s="42" t="s">
        <v>13</v>
      </c>
      <c r="E1" s="42"/>
      <c r="F1" s="42" t="s">
        <v>14</v>
      </c>
      <c r="G1" s="42"/>
      <c r="H1" s="42" t="s">
        <v>15</v>
      </c>
      <c r="I1" s="42"/>
      <c r="J1" s="42" t="s">
        <v>16</v>
      </c>
      <c r="K1" s="42"/>
      <c r="L1" s="42" t="s">
        <v>17</v>
      </c>
      <c r="M1" s="42"/>
      <c r="N1" s="42" t="s">
        <v>18</v>
      </c>
      <c r="O1" s="42"/>
      <c r="P1" s="42" t="s">
        <v>19</v>
      </c>
      <c r="Q1" s="42"/>
      <c r="R1" s="42" t="s">
        <v>20</v>
      </c>
      <c r="S1" s="42"/>
      <c r="T1" s="42" t="s">
        <v>21</v>
      </c>
      <c r="U1" s="42"/>
      <c r="V1" s="42" t="s">
        <v>22</v>
      </c>
      <c r="W1" s="42"/>
      <c r="X1" s="42" t="s">
        <v>23</v>
      </c>
      <c r="Y1" s="42"/>
      <c r="Z1" s="42" t="s">
        <v>24</v>
      </c>
      <c r="AA1" s="42"/>
      <c r="AB1" s="42" t="s">
        <v>25</v>
      </c>
      <c r="AC1" s="42"/>
      <c r="AD1" s="42" t="s">
        <v>26</v>
      </c>
      <c r="AE1" s="42"/>
      <c r="AF1" s="42" t="s">
        <v>27</v>
      </c>
      <c r="AG1" s="42"/>
      <c r="AH1" s="42" t="s">
        <v>28</v>
      </c>
      <c r="AI1" s="42"/>
      <c r="AJ1" s="42" t="s">
        <v>29</v>
      </c>
      <c r="AK1" s="42"/>
      <c r="AL1" s="42" t="s">
        <v>30</v>
      </c>
      <c r="AM1" s="42"/>
      <c r="AN1" s="42" t="s">
        <v>31</v>
      </c>
      <c r="AO1" s="42"/>
      <c r="AP1" s="42" t="s">
        <v>32</v>
      </c>
      <c r="AQ1" s="42"/>
      <c r="AR1" s="42" t="s">
        <v>33</v>
      </c>
      <c r="AS1" s="42"/>
      <c r="AT1" s="42" t="s">
        <v>34</v>
      </c>
      <c r="AU1" s="42"/>
      <c r="AV1" s="42" t="s">
        <v>35</v>
      </c>
      <c r="AW1" s="42"/>
      <c r="AX1" s="42" t="s">
        <v>36</v>
      </c>
      <c r="AY1" s="42"/>
      <c r="AZ1" s="42" t="s">
        <v>37</v>
      </c>
      <c r="BA1" s="42"/>
      <c r="BB1" s="42" t="s">
        <v>38</v>
      </c>
      <c r="BC1" s="42"/>
      <c r="BD1" s="42" t="s">
        <v>39</v>
      </c>
      <c r="BE1" s="42"/>
      <c r="BF1" s="42" t="s">
        <v>40</v>
      </c>
      <c r="BG1" s="42"/>
      <c r="BH1" s="42" t="s">
        <v>41</v>
      </c>
      <c r="BI1" s="42"/>
      <c r="BK1" s="21"/>
    </row>
    <row r="2" spans="1:66" s="15" customFormat="1" x14ac:dyDescent="0.25">
      <c r="B2" s="43" t="str">
        <f>'Price Data'!B1</f>
        <v>tsla</v>
      </c>
      <c r="C2" s="43"/>
      <c r="D2" s="43" t="str">
        <f>'Price Data'!C1</f>
        <v>rcl</v>
      </c>
      <c r="E2" s="43"/>
      <c r="F2" s="43" t="str">
        <f>'Price Data'!D1</f>
        <v>nvda</v>
      </c>
      <c r="G2" s="43"/>
      <c r="H2" s="43" t="str">
        <f>'Price Data'!E1</f>
        <v>ual</v>
      </c>
      <c r="I2" s="43"/>
      <c r="J2" s="43" t="str">
        <f>'Price Data'!F1</f>
        <v>meta</v>
      </c>
      <c r="K2" s="43"/>
      <c r="L2" s="43" t="str">
        <f>'Price Data'!G1</f>
        <v>f</v>
      </c>
      <c r="M2" s="43"/>
      <c r="N2" s="43" t="str">
        <f>'Price Data'!H1</f>
        <v>hog</v>
      </c>
      <c r="O2" s="43"/>
      <c r="P2" s="43" t="str">
        <f>'Price Data'!I1</f>
        <v>pzza</v>
      </c>
      <c r="Q2" s="43"/>
      <c r="R2" s="43" t="str">
        <f>'Price Data'!J1</f>
        <v>ba</v>
      </c>
      <c r="S2" s="43"/>
      <c r="T2" s="43" t="str">
        <f>'Price Data'!K1</f>
        <v>cmg</v>
      </c>
      <c r="U2" s="43"/>
      <c r="V2" s="43" t="str">
        <f>'Price Data'!L1</f>
        <v>cat</v>
      </c>
      <c r="W2" s="43"/>
      <c r="X2" s="43" t="str">
        <f>'Price Data'!M1</f>
        <v>lly</v>
      </c>
      <c r="Y2" s="43"/>
      <c r="Z2" s="43" t="str">
        <f>'Price Data'!N1</f>
        <v>googl</v>
      </c>
      <c r="AA2" s="43"/>
      <c r="AB2" s="43" t="str">
        <f>'Price Data'!O1</f>
        <v>mmm</v>
      </c>
      <c r="AC2" s="43"/>
      <c r="AD2" s="43" t="str">
        <f>'Price Data'!P1</f>
        <v>xom</v>
      </c>
      <c r="AE2" s="43"/>
      <c r="AF2" s="43" t="str">
        <f>'Price Data'!Q1</f>
        <v>grmn</v>
      </c>
      <c r="AG2" s="43"/>
      <c r="AH2" s="43" t="str">
        <f>'Price Data'!R1</f>
        <v>ibm</v>
      </c>
      <c r="AI2" s="43"/>
      <c r="AJ2" s="43" t="str">
        <f>'Price Data'!S1</f>
        <v>aapl</v>
      </c>
      <c r="AK2" s="43"/>
      <c r="AL2" s="43" t="str">
        <f>'Price Data'!T1</f>
        <v>hd</v>
      </c>
      <c r="AM2" s="43"/>
      <c r="AN2" s="43" t="str">
        <f>'Price Data'!U1</f>
        <v>jpm</v>
      </c>
      <c r="AO2" s="43"/>
      <c r="AP2" s="43" t="str">
        <f>'Price Data'!V1</f>
        <v>pru</v>
      </c>
      <c r="AQ2" s="43"/>
      <c r="AR2" s="43" t="str">
        <f>'Price Data'!W1</f>
        <v>t</v>
      </c>
      <c r="AS2" s="43"/>
      <c r="AT2" s="43" t="str">
        <f>'Price Data'!X1</f>
        <v>kr</v>
      </c>
      <c r="AU2" s="43"/>
      <c r="AV2" s="43" t="str">
        <f>'Price Data'!Y1</f>
        <v>pfe</v>
      </c>
      <c r="AW2" s="43"/>
      <c r="AX2" s="43" t="str">
        <f>'Price Data'!Z1</f>
        <v>ma</v>
      </c>
      <c r="AY2" s="43"/>
      <c r="AZ2" s="43" t="str">
        <f>'Price Data'!AA1</f>
        <v>msft</v>
      </c>
      <c r="BA2" s="43"/>
      <c r="BB2" s="43" t="str">
        <f>'Price Data'!AB1</f>
        <v>yum</v>
      </c>
      <c r="BC2" s="43"/>
      <c r="BD2" s="43" t="str">
        <f>'Price Data'!AC1</f>
        <v>wmt</v>
      </c>
      <c r="BE2" s="43"/>
      <c r="BF2" s="43" t="str">
        <f>'Price Data'!AD1</f>
        <v>ko</v>
      </c>
      <c r="BG2" s="43"/>
      <c r="BH2" s="43" t="str">
        <f>'Price Data'!AE1</f>
        <v>mcd</v>
      </c>
      <c r="BI2" s="43"/>
      <c r="BJ2" s="43" t="str">
        <f>'Price Data'!AF1</f>
        <v>IVV</v>
      </c>
      <c r="BK2" s="43"/>
      <c r="BM2" s="44"/>
      <c r="BN2" s="44"/>
    </row>
    <row r="3" spans="1:66" s="22" customFormat="1" ht="15" x14ac:dyDescent="0.2">
      <c r="A3" s="22" t="s">
        <v>11</v>
      </c>
      <c r="B3" s="22" t="s">
        <v>43</v>
      </c>
      <c r="C3" s="22" t="s">
        <v>42</v>
      </c>
      <c r="D3" s="22" t="s">
        <v>43</v>
      </c>
      <c r="E3" s="22" t="s">
        <v>42</v>
      </c>
      <c r="F3" s="22" t="s">
        <v>43</v>
      </c>
      <c r="G3" s="22" t="s">
        <v>42</v>
      </c>
      <c r="H3" s="22" t="s">
        <v>43</v>
      </c>
      <c r="I3" s="22" t="s">
        <v>42</v>
      </c>
      <c r="J3" s="22" t="s">
        <v>43</v>
      </c>
      <c r="K3" s="22" t="s">
        <v>42</v>
      </c>
      <c r="L3" s="22" t="s">
        <v>43</v>
      </c>
      <c r="M3" s="22" t="s">
        <v>42</v>
      </c>
      <c r="N3" s="22" t="s">
        <v>43</v>
      </c>
      <c r="O3" s="22" t="s">
        <v>42</v>
      </c>
      <c r="P3" s="22" t="s">
        <v>43</v>
      </c>
      <c r="Q3" s="22" t="s">
        <v>42</v>
      </c>
      <c r="R3" s="22" t="s">
        <v>43</v>
      </c>
      <c r="S3" s="22" t="s">
        <v>42</v>
      </c>
      <c r="T3" s="22" t="s">
        <v>43</v>
      </c>
      <c r="U3" s="22" t="s">
        <v>42</v>
      </c>
      <c r="V3" s="22" t="s">
        <v>43</v>
      </c>
      <c r="W3" s="22" t="s">
        <v>42</v>
      </c>
      <c r="X3" s="22" t="s">
        <v>43</v>
      </c>
      <c r="Y3" s="22" t="s">
        <v>42</v>
      </c>
      <c r="Z3" s="22" t="s">
        <v>43</v>
      </c>
      <c r="AA3" s="22" t="s">
        <v>42</v>
      </c>
      <c r="AB3" s="22" t="s">
        <v>43</v>
      </c>
      <c r="AC3" s="22" t="s">
        <v>42</v>
      </c>
      <c r="AD3" s="22" t="s">
        <v>43</v>
      </c>
      <c r="AE3" s="22" t="s">
        <v>42</v>
      </c>
      <c r="AF3" s="22" t="s">
        <v>43</v>
      </c>
      <c r="AG3" s="22" t="s">
        <v>42</v>
      </c>
      <c r="AH3" s="22" t="s">
        <v>43</v>
      </c>
      <c r="AI3" s="22" t="s">
        <v>42</v>
      </c>
      <c r="AJ3" s="22" t="s">
        <v>43</v>
      </c>
      <c r="AK3" s="22" t="s">
        <v>42</v>
      </c>
      <c r="AL3" s="22" t="s">
        <v>43</v>
      </c>
      <c r="AM3" s="22" t="s">
        <v>42</v>
      </c>
      <c r="AN3" s="22" t="s">
        <v>43</v>
      </c>
      <c r="AO3" s="22" t="s">
        <v>42</v>
      </c>
      <c r="AP3" s="22" t="s">
        <v>43</v>
      </c>
      <c r="AQ3" s="22" t="s">
        <v>42</v>
      </c>
      <c r="AR3" s="22" t="s">
        <v>43</v>
      </c>
      <c r="AS3" s="22" t="s">
        <v>42</v>
      </c>
      <c r="AT3" s="22" t="s">
        <v>43</v>
      </c>
      <c r="AU3" s="22" t="s">
        <v>42</v>
      </c>
      <c r="AV3" s="22" t="s">
        <v>43</v>
      </c>
      <c r="AW3" s="22" t="s">
        <v>42</v>
      </c>
      <c r="AX3" s="22" t="s">
        <v>43</v>
      </c>
      <c r="AY3" s="22" t="s">
        <v>42</v>
      </c>
      <c r="AZ3" s="22" t="s">
        <v>43</v>
      </c>
      <c r="BA3" s="22" t="s">
        <v>42</v>
      </c>
      <c r="BB3" s="22" t="s">
        <v>43</v>
      </c>
      <c r="BC3" s="22" t="s">
        <v>42</v>
      </c>
      <c r="BD3" s="22" t="s">
        <v>43</v>
      </c>
      <c r="BE3" s="22" t="s">
        <v>42</v>
      </c>
      <c r="BF3" s="22" t="s">
        <v>43</v>
      </c>
      <c r="BG3" s="22" t="s">
        <v>42</v>
      </c>
      <c r="BH3" s="22" t="s">
        <v>43</v>
      </c>
      <c r="BI3" s="22" t="s">
        <v>42</v>
      </c>
      <c r="BJ3" s="22" t="s">
        <v>43</v>
      </c>
      <c r="BK3" s="22" t="s">
        <v>42</v>
      </c>
    </row>
    <row r="4" spans="1:66" s="15" customFormat="1" x14ac:dyDescent="0.25">
      <c r="A4" s="24">
        <f ca="1">'Price Data'!D65</f>
        <v>44136</v>
      </c>
      <c r="B4" s="15" vm="1">
        <f ca="1">'Price Data'!B2</f>
        <v>189.19810000000001</v>
      </c>
      <c r="D4" s="15" vm="2">
        <f ca="1">'Price Data'!C2</f>
        <v>78.81</v>
      </c>
      <c r="F4" s="15" vm="3">
        <f ca="1">'Price Data'!D2</f>
        <v>13.4015</v>
      </c>
      <c r="H4" s="15" vm="4">
        <f ca="1">'Price Data'!E2</f>
        <v>45.05</v>
      </c>
      <c r="J4" s="15" vm="5">
        <f ca="1">'Price Data'!F2</f>
        <v>276.97000000000003</v>
      </c>
      <c r="L4" s="15" vm="6">
        <f ca="1">'Price Data'!G2</f>
        <v>8.9364000000000008</v>
      </c>
      <c r="N4" s="15" vm="7">
        <f ca="1">'Price Data'!H2</f>
        <v>40.29</v>
      </c>
      <c r="P4" s="15" vm="8">
        <f ca="1">'Price Data'!I2</f>
        <v>80.36</v>
      </c>
      <c r="R4" s="15" vm="9">
        <f ca="1">'Price Data'!J2</f>
        <v>210.71</v>
      </c>
      <c r="T4" s="15" vm="10">
        <f ca="1">'Price Data'!K2</f>
        <v>25.788599999999999</v>
      </c>
      <c r="V4" s="15" vm="11">
        <f ca="1">'Price Data'!L2</f>
        <v>173.59</v>
      </c>
      <c r="X4" s="15" vm="12">
        <f ca="1">'Price Data'!M2</f>
        <v>145.65</v>
      </c>
      <c r="Z4" s="15" vm="13">
        <f ca="1">'Price Data'!N2</f>
        <v>87.72</v>
      </c>
      <c r="AB4" s="15" vm="14">
        <f ca="1">'Price Data'!O2</f>
        <v>144.4161</v>
      </c>
      <c r="AD4" s="15" vm="15">
        <f ca="1">'Price Data'!P2</f>
        <v>38.130000000000003</v>
      </c>
      <c r="AF4" s="15" vm="16">
        <f ca="1">'Price Data'!Q2</f>
        <v>116.76</v>
      </c>
      <c r="AH4" s="15" vm="17">
        <f ca="1">'Price Data'!R2</f>
        <v>123.52</v>
      </c>
      <c r="AJ4" s="15" vm="18">
        <f ca="1">'Price Data'!S2</f>
        <v>119.05</v>
      </c>
      <c r="AL4" s="15" vm="19">
        <f ca="1">'Price Data'!T2</f>
        <v>277.41000000000003</v>
      </c>
      <c r="AN4" s="15" vm="20">
        <f ca="1">'Price Data'!U2</f>
        <v>117.88</v>
      </c>
      <c r="AP4" s="15" vm="21">
        <f ca="1">'Price Data'!V2</f>
        <v>75.62</v>
      </c>
      <c r="AR4" s="15" vm="22">
        <f ca="1">'Price Data'!W2</f>
        <v>21.711400000000001</v>
      </c>
      <c r="AT4" s="15" vm="23">
        <f ca="1">'Price Data'!X2</f>
        <v>33</v>
      </c>
      <c r="AV4" s="15" vm="24">
        <f ca="1">'Price Data'!Y2</f>
        <v>38.31</v>
      </c>
      <c r="AX4" s="15" vm="25">
        <f ca="1">'Price Data'!Z2</f>
        <v>336.51</v>
      </c>
      <c r="AZ4" s="15" vm="26">
        <f ca="1">'Price Data'!AA2</f>
        <v>214.07</v>
      </c>
      <c r="BB4" s="15" vm="27">
        <f ca="1">'Price Data'!AB2</f>
        <v>105.8</v>
      </c>
      <c r="BD4" s="15" vm="28">
        <f ca="1">'Price Data'!AC2</f>
        <v>50.929499999999997</v>
      </c>
      <c r="BF4" s="15" vm="29">
        <f ca="1">'Price Data'!AD2</f>
        <v>51.6</v>
      </c>
      <c r="BH4" s="15" vm="30">
        <f ca="1">'Price Data'!AE2</f>
        <v>217.44</v>
      </c>
      <c r="BJ4" s="15" vm="31">
        <f ca="1">'Price Data'!AF2</f>
        <v>363.32</v>
      </c>
      <c r="BK4" s="1"/>
    </row>
    <row r="5" spans="1:66" s="15" customFormat="1" ht="15" x14ac:dyDescent="0.2">
      <c r="A5" s="24">
        <f ca="1">EDATE(A4,1)</f>
        <v>44166</v>
      </c>
      <c r="B5" s="15" vm="32">
        <f ca="1">'Price Data'!B3</f>
        <v>235.221</v>
      </c>
      <c r="C5" s="25">
        <f ca="1">LN(B5/B4)</f>
        <v>0.21773088346896965</v>
      </c>
      <c r="D5" s="15" vm="33">
        <f ca="1">'Price Data'!C3</f>
        <v>74.69</v>
      </c>
      <c r="E5" s="25">
        <f t="shared" ref="E5:E64" ca="1" si="0">LN(D5/D4)</f>
        <v>-5.3693677996582978E-2</v>
      </c>
      <c r="F5" s="15" vm="34">
        <f ca="1">'Price Data'!D3</f>
        <v>13.055</v>
      </c>
      <c r="G5" s="25">
        <f t="shared" ref="G5:G64" ca="1" si="1">LN(F5/F4)</f>
        <v>-2.6195438839433378E-2</v>
      </c>
      <c r="H5" s="15" vm="35">
        <f ca="1">'Price Data'!E3</f>
        <v>43.25</v>
      </c>
      <c r="I5" s="25">
        <f t="shared" ref="I5:I64" ca="1" si="2">LN(H5/H4)</f>
        <v>-4.0775750676458493E-2</v>
      </c>
      <c r="J5" s="15" vm="36">
        <f ca="1">'Price Data'!F3</f>
        <v>273.16000000000003</v>
      </c>
      <c r="K5" s="25">
        <f t="shared" ref="K5:K64" ca="1" si="3">LN(J5/J4)</f>
        <v>-1.3851492980132132E-2</v>
      </c>
      <c r="L5" s="15" vm="37">
        <f ca="1">'Price Data'!G3</f>
        <v>8.6509</v>
      </c>
      <c r="M5" s="25">
        <f t="shared" ref="M5:M64" ca="1" si="4">LN(L5/L4)</f>
        <v>-3.2469461748335517E-2</v>
      </c>
      <c r="N5" s="15" vm="38">
        <f ca="1">'Price Data'!H3</f>
        <v>36.700000000000003</v>
      </c>
      <c r="O5" s="25">
        <f t="shared" ref="O5:O64" ca="1" si="5">LN(N5/N4)</f>
        <v>-9.3326544142731185E-2</v>
      </c>
      <c r="P5" s="15" vm="39">
        <f ca="1">'Price Data'!I3</f>
        <v>84.85</v>
      </c>
      <c r="Q5" s="25">
        <f t="shared" ref="Q5:Q64" ca="1" si="6">LN(P5/P4)</f>
        <v>5.4368451733501542E-2</v>
      </c>
      <c r="R5" s="15" vm="40">
        <f ca="1">'Price Data'!J3</f>
        <v>214.06</v>
      </c>
      <c r="S5" s="25">
        <f t="shared" ref="S5:S64" ca="1" si="7">LN(R5/R4)</f>
        <v>1.5773569027513368E-2</v>
      </c>
      <c r="T5" s="15" vm="41">
        <f ca="1">'Price Data'!K3</f>
        <v>27.734200000000001</v>
      </c>
      <c r="U5" s="25">
        <f t="shared" ref="U5:U64" ca="1" si="8">LN(T5/T4)</f>
        <v>7.273377485742806E-2</v>
      </c>
      <c r="V5" s="15" vm="42">
        <f ca="1">'Price Data'!L3</f>
        <v>182.02</v>
      </c>
      <c r="W5" s="25">
        <f t="shared" ref="W5:W64" ca="1" si="9">LN(V5/V4)</f>
        <v>4.7420374268751821E-2</v>
      </c>
      <c r="X5" s="15" vm="43">
        <f ca="1">'Price Data'!M3</f>
        <v>168.84</v>
      </c>
      <c r="Y5" s="25">
        <f t="shared" ref="Y5:Y64" ca="1" si="10">LN(X5/X4)</f>
        <v>0.14774503750885432</v>
      </c>
      <c r="Z5" s="15" vm="44">
        <f ca="1">'Price Data'!N3</f>
        <v>87.632000000000005</v>
      </c>
      <c r="AA5" s="25">
        <f t="shared" ref="AA5:AA64" ca="1" si="11">LN(Z5/Z4)</f>
        <v>-1.0036955083218119E-3</v>
      </c>
      <c r="AB5" s="15" vm="45">
        <f ca="1">'Price Data'!O3</f>
        <v>146.13839999999999</v>
      </c>
      <c r="AC5" s="25">
        <f t="shared" ref="AC5:AC64" ca="1" si="12">LN(AB5/AB4)</f>
        <v>1.1855401809097511E-2</v>
      </c>
      <c r="AD5" s="15" vm="46">
        <f ca="1">'Price Data'!P3</f>
        <v>41.22</v>
      </c>
      <c r="AE5" s="25">
        <f t="shared" ref="AE5:AE64" ca="1" si="13">LN(AD5/AD4)</f>
        <v>7.7922201592840412E-2</v>
      </c>
      <c r="AF5" s="15" vm="47">
        <f ca="1">'Price Data'!Q3</f>
        <v>119.66</v>
      </c>
      <c r="AG5" s="25">
        <f t="shared" ref="AG5:AG64" ca="1" si="14">LN(AF5/AF4)</f>
        <v>2.4533841975971707E-2</v>
      </c>
      <c r="AH5" s="15" vm="48">
        <f ca="1">'Price Data'!R3</f>
        <v>125.88</v>
      </c>
      <c r="AI5" s="25">
        <f t="shared" ref="AI5:AI64" ca="1" si="15">LN(AH5/AH4)</f>
        <v>1.8925985919740144E-2</v>
      </c>
      <c r="AJ5" s="15" vm="49">
        <f ca="1">'Price Data'!S3</f>
        <v>132.69</v>
      </c>
      <c r="AK5" s="25">
        <f t="shared" ref="AK5:AK64" ca="1" si="16">LN(AJ5/AJ4)</f>
        <v>0.1084720076154734</v>
      </c>
      <c r="AL5" s="15" vm="50">
        <f ca="1">'Price Data'!T3</f>
        <v>265.62</v>
      </c>
      <c r="AM5" s="25">
        <f t="shared" ref="AM5:AM64" ca="1" si="17">LN(AL5/AL4)</f>
        <v>-4.3429840285552371E-2</v>
      </c>
      <c r="AN5" s="15" vm="51">
        <f ca="1">'Price Data'!U3</f>
        <v>127.07</v>
      </c>
      <c r="AO5" s="25">
        <f t="shared" ref="AO5:AO64" ca="1" si="18">LN(AN5/AN4)</f>
        <v>7.5070957846948963E-2</v>
      </c>
      <c r="AP5" s="15" vm="52">
        <f ca="1">'Price Data'!V3</f>
        <v>78.069999999999993</v>
      </c>
      <c r="AQ5" s="25">
        <f t="shared" ref="AQ5:AQ64" ca="1" si="19">LN(AP5/AP4)</f>
        <v>3.1885061669412629E-2</v>
      </c>
      <c r="AR5" s="15" vm="53">
        <f ca="1">'Price Data'!W3</f>
        <v>21.719000000000001</v>
      </c>
      <c r="AS5" s="25">
        <f t="shared" ref="AS5:AS64" ca="1" si="20">LN(AR5/AR4)</f>
        <v>3.4998526735077068E-4</v>
      </c>
      <c r="AT5" s="15" vm="54">
        <f ca="1">'Price Data'!X3</f>
        <v>31.76</v>
      </c>
      <c r="AU5" s="25">
        <f t="shared" ref="AU5:AU64" ca="1" si="21">LN(AT5/AT4)</f>
        <v>-3.8299925087545164E-2</v>
      </c>
      <c r="AV5" s="15" vm="55">
        <f ca="1">'Price Data'!Y3</f>
        <v>36.81</v>
      </c>
      <c r="AW5" s="25">
        <f t="shared" ref="AW5:AW64" ca="1" si="22">LN(AV5/AV4)</f>
        <v>-3.9941411321627818E-2</v>
      </c>
      <c r="AX5" s="15" vm="56">
        <f ca="1">'Price Data'!Z3</f>
        <v>356.94</v>
      </c>
      <c r="AY5" s="25">
        <f t="shared" ref="AY5:AY64" ca="1" si="23">LN(AX5/AX4)</f>
        <v>5.8939834102627486E-2</v>
      </c>
      <c r="AZ5" s="15" vm="57">
        <f ca="1">'Price Data'!AA3</f>
        <v>222.42</v>
      </c>
      <c r="BA5" s="25">
        <f t="shared" ref="BA5:BA64" ca="1" si="24">LN(AZ5/AZ4)</f>
        <v>3.8264422051564689E-2</v>
      </c>
      <c r="BB5" s="15" vm="58">
        <f ca="1">'Price Data'!AB3</f>
        <v>108.56</v>
      </c>
      <c r="BC5" s="25">
        <f t="shared" ref="BC5:BC64" ca="1" si="25">LN(BB5/BB4)</f>
        <v>2.5752496102414764E-2</v>
      </c>
      <c r="BD5" s="15" vm="59">
        <f ca="1">'Price Data'!AC3</f>
        <v>48.049500000000002</v>
      </c>
      <c r="BE5" s="25">
        <f t="shared" ref="BE5:BE64" ca="1" si="26">LN(BD5/BD4)</f>
        <v>-5.8210593916998454E-2</v>
      </c>
      <c r="BF5" s="15" vm="60">
        <f ca="1">'Price Data'!AD3</f>
        <v>54.84</v>
      </c>
      <c r="BG5" s="25">
        <f t="shared" ref="BG5:BG64" ca="1" si="27">LN(BF5/BF4)</f>
        <v>6.0898182206596568E-2</v>
      </c>
      <c r="BH5" s="15" vm="61">
        <f ca="1">'Price Data'!AE3</f>
        <v>214.58</v>
      </c>
      <c r="BI5" s="25">
        <f t="shared" ref="BI5:BI64" ca="1" si="28">LN(BH5/BH4)</f>
        <v>-1.324032119423333E-2</v>
      </c>
      <c r="BJ5" s="15" vm="62">
        <f ca="1">'Price Data'!AF3</f>
        <v>375.39</v>
      </c>
      <c r="BK5" s="25">
        <f t="shared" ref="BK5:BK64" ca="1" si="29">LN(BJ5/BJ4)</f>
        <v>3.2681496911060537E-2</v>
      </c>
      <c r="BL5" s="25"/>
    </row>
    <row r="6" spans="1:66" x14ac:dyDescent="0.25">
      <c r="A6" s="24">
        <f t="shared" ref="A6:A64" ca="1" si="30">EDATE(A5,1)</f>
        <v>44197</v>
      </c>
      <c r="B6" s="15" vm="63">
        <f ca="1">'Price Data'!B4</f>
        <v>264.50740000000002</v>
      </c>
      <c r="C6" s="25">
        <f t="shared" ref="C6:C64" ca="1" si="31">LN(B6/B5)</f>
        <v>0.11734373046966079</v>
      </c>
      <c r="D6" s="15" vm="64">
        <f ca="1">'Price Data'!C4</f>
        <v>65</v>
      </c>
      <c r="E6" s="25">
        <f t="shared" ca="1" si="0"/>
        <v>-0.1389589444733382</v>
      </c>
      <c r="F6" s="15" vm="65">
        <f ca="1">'Price Data'!D4</f>
        <v>12.989800000000001</v>
      </c>
      <c r="G6" s="25">
        <f t="shared" ca="1" si="1"/>
        <v>-5.0067680459251153E-3</v>
      </c>
      <c r="H6" s="15" vm="66">
        <f ca="1">'Price Data'!E4</f>
        <v>39.99</v>
      </c>
      <c r="I6" s="25">
        <f t="shared" ca="1" si="2"/>
        <v>-7.8367810519161293E-2</v>
      </c>
      <c r="J6" s="15" vm="67">
        <f ca="1">'Price Data'!F4</f>
        <v>258.33</v>
      </c>
      <c r="K6" s="25">
        <f t="shared" ca="1" si="3"/>
        <v>-5.5819866716705087E-2</v>
      </c>
      <c r="L6" s="15" vm="68">
        <f ca="1">'Price Data'!G4</f>
        <v>10.3634</v>
      </c>
      <c r="M6" s="25">
        <f t="shared" ca="1" si="4"/>
        <v>0.18061700654436941</v>
      </c>
      <c r="N6" s="15" vm="69">
        <f ca="1">'Price Data'!H4</f>
        <v>40.090000000000003</v>
      </c>
      <c r="O6" s="25">
        <f t="shared" ca="1" si="5"/>
        <v>8.8350171593890983E-2</v>
      </c>
      <c r="P6" s="15" vm="70">
        <f ca="1">'Price Data'!I4</f>
        <v>102.28</v>
      </c>
      <c r="Q6" s="25">
        <f t="shared" ca="1" si="6"/>
        <v>0.18682915874275061</v>
      </c>
      <c r="R6" s="15" vm="71">
        <f ca="1">'Price Data'!J4</f>
        <v>194.19</v>
      </c>
      <c r="S6" s="25">
        <f t="shared" ca="1" si="7"/>
        <v>-9.7419288330701001E-2</v>
      </c>
      <c r="T6" s="15" vm="72">
        <f ca="1">'Price Data'!K4</f>
        <v>29.6</v>
      </c>
      <c r="U6" s="25">
        <f t="shared" ca="1" si="8"/>
        <v>6.510805265923264E-2</v>
      </c>
      <c r="V6" s="15" vm="73">
        <f ca="1">'Price Data'!L4</f>
        <v>182.84</v>
      </c>
      <c r="W6" s="25">
        <f t="shared" ca="1" si="9"/>
        <v>4.4948823143340496E-3</v>
      </c>
      <c r="X6" s="15" vm="74">
        <f ca="1">'Price Data'!M4</f>
        <v>207.97</v>
      </c>
      <c r="Y6" s="25">
        <f t="shared" ca="1" si="10"/>
        <v>0.20844231761553156</v>
      </c>
      <c r="Z6" s="15" vm="75">
        <f ca="1">'Price Data'!N4</f>
        <v>91.367999999999995</v>
      </c>
      <c r="AA6" s="25">
        <f t="shared" ca="1" si="11"/>
        <v>4.1749079706940313E-2</v>
      </c>
      <c r="AB6" s="15" vm="76">
        <f ca="1">'Price Data'!O4</f>
        <v>146.86580000000001</v>
      </c>
      <c r="AC6" s="25">
        <f t="shared" ca="1" si="12"/>
        <v>4.965126741192049E-3</v>
      </c>
      <c r="AD6" s="15" vm="77">
        <f ca="1">'Price Data'!P4</f>
        <v>44.84</v>
      </c>
      <c r="AE6" s="25">
        <f t="shared" ca="1" si="13"/>
        <v>8.4177022741646249E-2</v>
      </c>
      <c r="AF6" s="15" vm="78">
        <f ca="1">'Price Data'!Q4</f>
        <v>114.86</v>
      </c>
      <c r="AG6" s="25">
        <f t="shared" ca="1" si="14"/>
        <v>-4.0940392525735302E-2</v>
      </c>
      <c r="AH6" s="15" vm="79">
        <f ca="1">'Price Data'!R4</f>
        <v>119.11</v>
      </c>
      <c r="AI6" s="25">
        <f t="shared" ca="1" si="15"/>
        <v>-5.5281636303396553E-2</v>
      </c>
      <c r="AJ6" s="15" vm="80">
        <f ca="1">'Price Data'!S4</f>
        <v>131.96</v>
      </c>
      <c r="AK6" s="25">
        <f t="shared" ca="1" si="16"/>
        <v>-5.5167341879643174E-3</v>
      </c>
      <c r="AL6" s="15" vm="81">
        <f ca="1">'Price Data'!T4</f>
        <v>270.82</v>
      </c>
      <c r="AM6" s="25">
        <f t="shared" ca="1" si="17"/>
        <v>1.9387677582573235E-2</v>
      </c>
      <c r="AN6" s="15" vm="82">
        <f ca="1">'Price Data'!U4</f>
        <v>128.66999999999999</v>
      </c>
      <c r="AO6" s="25">
        <f t="shared" ca="1" si="18"/>
        <v>1.2512871480455748E-2</v>
      </c>
      <c r="AP6" s="15" vm="83">
        <f ca="1">'Price Data'!V4</f>
        <v>78.28</v>
      </c>
      <c r="AQ6" s="25">
        <f t="shared" ca="1" si="19"/>
        <v>2.6862823956760478E-3</v>
      </c>
      <c r="AR6" s="15" vm="84">
        <f ca="1">'Price Data'!W4</f>
        <v>21.620799999999999</v>
      </c>
      <c r="AS6" s="25">
        <f t="shared" ca="1" si="20"/>
        <v>-4.5316391884994024E-3</v>
      </c>
      <c r="AT6" s="15" vm="85">
        <f ca="1">'Price Data'!X4</f>
        <v>34.5</v>
      </c>
      <c r="AU6" s="25">
        <f t="shared" ca="1" si="21"/>
        <v>8.2751687658379078E-2</v>
      </c>
      <c r="AV6" s="15" vm="86">
        <f ca="1">'Price Data'!Y4</f>
        <v>35.9</v>
      </c>
      <c r="AW6" s="25">
        <f t="shared" ca="1" si="22"/>
        <v>-2.503225189669667E-2</v>
      </c>
      <c r="AX6" s="15" vm="87">
        <f ca="1">'Price Data'!Z4</f>
        <v>316.29000000000002</v>
      </c>
      <c r="AY6" s="25">
        <f t="shared" ca="1" si="23"/>
        <v>-0.12090818617090128</v>
      </c>
      <c r="AZ6" s="15" vm="88">
        <f ca="1">'Price Data'!AA4</f>
        <v>231.96</v>
      </c>
      <c r="BA6" s="25">
        <f t="shared" ca="1" si="24"/>
        <v>4.1997456617543977E-2</v>
      </c>
      <c r="BB6" s="15" vm="89">
        <f ca="1">'Price Data'!AB4</f>
        <v>101.49</v>
      </c>
      <c r="BC6" s="25">
        <f t="shared" ca="1" si="25"/>
        <v>-6.7342744065887028E-2</v>
      </c>
      <c r="BD6" s="15" vm="90">
        <f ca="1">'Price Data'!AC4</f>
        <v>46.829500000000003</v>
      </c>
      <c r="BE6" s="25">
        <f t="shared" ca="1" si="26"/>
        <v>-2.5718383312951992E-2</v>
      </c>
      <c r="BF6" s="15" vm="91">
        <f ca="1">'Price Data'!AD4</f>
        <v>48.15</v>
      </c>
      <c r="BG6" s="25">
        <f t="shared" ca="1" si="27"/>
        <v>-0.13009871644997914</v>
      </c>
      <c r="BH6" s="15" vm="92">
        <f ca="1">'Price Data'!AE4</f>
        <v>207.84</v>
      </c>
      <c r="BI6" s="25">
        <f t="shared" ca="1" si="28"/>
        <v>-3.1914076286310794E-2</v>
      </c>
      <c r="BJ6" s="15" vm="93">
        <f ca="1">'Price Data'!AF4</f>
        <v>371.52</v>
      </c>
      <c r="BK6" s="25">
        <f t="shared" ca="1" si="29"/>
        <v>-1.0362787035546547E-2</v>
      </c>
    </row>
    <row r="7" spans="1:66" x14ac:dyDescent="0.25">
      <c r="A7" s="24">
        <f t="shared" ca="1" si="30"/>
        <v>44228</v>
      </c>
      <c r="B7" s="15" vm="94">
        <f ca="1">'Price Data'!B5</f>
        <v>225.1644</v>
      </c>
      <c r="C7" s="25">
        <f t="shared" ca="1" si="31"/>
        <v>-0.1610384261585317</v>
      </c>
      <c r="D7" s="15" vm="95">
        <f ca="1">'Price Data'!C5</f>
        <v>93.27</v>
      </c>
      <c r="E7" s="25">
        <f t="shared" ca="1" si="0"/>
        <v>0.36111124284313506</v>
      </c>
      <c r="F7" s="15" vm="96">
        <f ca="1">'Price Data'!D5</f>
        <v>13.714499999999999</v>
      </c>
      <c r="G7" s="25">
        <f t="shared" ca="1" si="1"/>
        <v>5.4289233185286744E-2</v>
      </c>
      <c r="H7" s="15" vm="97">
        <f ca="1">'Price Data'!E5</f>
        <v>52.68</v>
      </c>
      <c r="I7" s="25">
        <f t="shared" ca="1" si="2"/>
        <v>0.27560645401635331</v>
      </c>
      <c r="J7" s="15" vm="98">
        <f ca="1">'Price Data'!F5</f>
        <v>257.62</v>
      </c>
      <c r="K7" s="25">
        <f t="shared" ca="1" si="3"/>
        <v>-2.7522064082416541E-3</v>
      </c>
      <c r="L7" s="15" vm="99">
        <f ca="1">'Price Data'!G5</f>
        <v>11.514900000000001</v>
      </c>
      <c r="M7" s="25">
        <f t="shared" ca="1" si="4"/>
        <v>0.10536148059164867</v>
      </c>
      <c r="N7" s="15" vm="100">
        <f ca="1">'Price Data'!H5</f>
        <v>35.67</v>
      </c>
      <c r="O7" s="25">
        <f t="shared" ca="1" si="5"/>
        <v>-0.11681692728361545</v>
      </c>
      <c r="P7" s="15" vm="101">
        <f ca="1">'Price Data'!I5</f>
        <v>90.19</v>
      </c>
      <c r="Q7" s="25">
        <f t="shared" ca="1" si="6"/>
        <v>-0.12579559424536904</v>
      </c>
      <c r="R7" s="15" vm="102">
        <f ca="1">'Price Data'!J5</f>
        <v>212.01</v>
      </c>
      <c r="S7" s="25">
        <f t="shared" ca="1" si="7"/>
        <v>8.7796382145344173E-2</v>
      </c>
      <c r="T7" s="15" vm="103">
        <f ca="1">'Price Data'!K5</f>
        <v>28.84</v>
      </c>
      <c r="U7" s="25">
        <f t="shared" ca="1" si="8"/>
        <v>-2.6011048913266433E-2</v>
      </c>
      <c r="V7" s="15" vm="104">
        <f ca="1">'Price Data'!L5</f>
        <v>215.88</v>
      </c>
      <c r="W7" s="25">
        <f t="shared" ca="1" si="9"/>
        <v>0.16611124428689844</v>
      </c>
      <c r="X7" s="15" vm="105">
        <f ca="1">'Price Data'!M5</f>
        <v>204.89</v>
      </c>
      <c r="Y7" s="25">
        <f t="shared" ca="1" si="10"/>
        <v>-1.4920588770721907E-2</v>
      </c>
      <c r="Z7" s="15" vm="106">
        <f ca="1">'Price Data'!N5</f>
        <v>101.0955</v>
      </c>
      <c r="AA7" s="25">
        <f t="shared" ca="1" si="11"/>
        <v>0.1011703069017465</v>
      </c>
      <c r="AB7" s="15" vm="107">
        <f ca="1">'Price Data'!O5</f>
        <v>146.36420000000001</v>
      </c>
      <c r="AC7" s="25">
        <f t="shared" ca="1" si="12"/>
        <v>-3.421208534290635E-3</v>
      </c>
      <c r="AD7" s="15" vm="108">
        <f ca="1">'Price Data'!P5</f>
        <v>54.37</v>
      </c>
      <c r="AE7" s="25">
        <f t="shared" ca="1" si="13"/>
        <v>0.19271193295387007</v>
      </c>
      <c r="AF7" s="15" vm="109">
        <f ca="1">'Price Data'!Q5</f>
        <v>124.02</v>
      </c>
      <c r="AG7" s="25">
        <f t="shared" ca="1" si="14"/>
        <v>7.6728847485581494E-2</v>
      </c>
      <c r="AH7" s="15" vm="110">
        <f ca="1">'Price Data'!R5</f>
        <v>118.93</v>
      </c>
      <c r="AI7" s="25">
        <f t="shared" ca="1" si="15"/>
        <v>-1.5123511536554997E-3</v>
      </c>
      <c r="AJ7" s="15" vm="111">
        <f ca="1">'Price Data'!S5</f>
        <v>121.26</v>
      </c>
      <c r="AK7" s="25">
        <f t="shared" ca="1" si="16"/>
        <v>-8.456184571679605E-2</v>
      </c>
      <c r="AL7" s="15" vm="112">
        <f ca="1">'Price Data'!T5</f>
        <v>258.33999999999997</v>
      </c>
      <c r="AM7" s="25">
        <f t="shared" ca="1" si="17"/>
        <v>-4.7177846750808564E-2</v>
      </c>
      <c r="AN7" s="15" vm="113">
        <f ca="1">'Price Data'!U5</f>
        <v>147.16999999999999</v>
      </c>
      <c r="AO7" s="25">
        <f t="shared" ca="1" si="18"/>
        <v>0.13433739397912264</v>
      </c>
      <c r="AP7" s="15" vm="114">
        <f ca="1">'Price Data'!V5</f>
        <v>86.72</v>
      </c>
      <c r="AQ7" s="25">
        <f t="shared" ca="1" si="19"/>
        <v>0.1023923951634606</v>
      </c>
      <c r="AR7" s="15" vm="115">
        <f ca="1">'Price Data'!W5</f>
        <v>21.062000000000001</v>
      </c>
      <c r="AS7" s="25">
        <f t="shared" ca="1" si="20"/>
        <v>-2.6185345343279078E-2</v>
      </c>
      <c r="AT7" s="15" vm="116">
        <f ca="1">'Price Data'!X5</f>
        <v>32.21</v>
      </c>
      <c r="AU7" s="25">
        <f t="shared" ca="1" si="21"/>
        <v>-6.8682360694206551E-2</v>
      </c>
      <c r="AV7" s="15" vm="117">
        <f ca="1">'Price Data'!Y5</f>
        <v>33.49</v>
      </c>
      <c r="AW7" s="25">
        <f t="shared" ca="1" si="22"/>
        <v>-6.9490408688119912E-2</v>
      </c>
      <c r="AX7" s="15" vm="118">
        <f ca="1">'Price Data'!Z5</f>
        <v>353.85</v>
      </c>
      <c r="AY7" s="25">
        <f t="shared" ca="1" si="23"/>
        <v>0.11221358026482584</v>
      </c>
      <c r="AZ7" s="15" vm="119">
        <f ca="1">'Price Data'!AA5</f>
        <v>232.38</v>
      </c>
      <c r="BA7" s="25">
        <f t="shared" ca="1" si="24"/>
        <v>1.8090197464760006E-3</v>
      </c>
      <c r="BB7" s="15" vm="120">
        <f ca="1">'Price Data'!AB5</f>
        <v>103.53</v>
      </c>
      <c r="BC7" s="25">
        <f t="shared" ca="1" si="25"/>
        <v>1.9901154317295021E-2</v>
      </c>
      <c r="BD7" s="15" vm="121">
        <f ca="1">'Price Data'!AC5</f>
        <v>43.306199999999997</v>
      </c>
      <c r="BE7" s="25">
        <f t="shared" ca="1" si="26"/>
        <v>-7.8217534396816196E-2</v>
      </c>
      <c r="BF7" s="15" vm="122">
        <f ca="1">'Price Data'!AD5</f>
        <v>48.99</v>
      </c>
      <c r="BG7" s="25">
        <f t="shared" ca="1" si="27"/>
        <v>1.7295057406349006E-2</v>
      </c>
      <c r="BH7" s="15" vm="123">
        <f ca="1">'Price Data'!AE5</f>
        <v>206.14</v>
      </c>
      <c r="BI7" s="25">
        <f t="shared" ca="1" si="28"/>
        <v>-8.2130033136427819E-3</v>
      </c>
      <c r="BJ7" s="15" vm="124">
        <f ca="1">'Price Data'!AF5</f>
        <v>381.77</v>
      </c>
      <c r="BK7" s="25">
        <f t="shared" ca="1" si="29"/>
        <v>2.7215634524684042E-2</v>
      </c>
    </row>
    <row r="8" spans="1:66" x14ac:dyDescent="0.25">
      <c r="A8" s="24">
        <f t="shared" ca="1" si="30"/>
        <v>44256</v>
      </c>
      <c r="B8" s="15" vm="125">
        <f ca="1">'Price Data'!B6</f>
        <v>222.64109999999999</v>
      </c>
      <c r="C8" s="25">
        <f t="shared" ca="1" si="31"/>
        <v>-1.1269744147262105E-2</v>
      </c>
      <c r="D8" s="15" vm="126">
        <f ca="1">'Price Data'!C6</f>
        <v>85.61</v>
      </c>
      <c r="E8" s="25">
        <f t="shared" ca="1" si="0"/>
        <v>-8.5696413984377773E-2</v>
      </c>
      <c r="F8" s="15" vm="127">
        <f ca="1">'Price Data'!D6</f>
        <v>13.3483</v>
      </c>
      <c r="G8" s="25">
        <f t="shared" ca="1" si="1"/>
        <v>-2.7064631376696461E-2</v>
      </c>
      <c r="H8" s="15" vm="128">
        <f ca="1">'Price Data'!E6</f>
        <v>57.54</v>
      </c>
      <c r="I8" s="25">
        <f t="shared" ca="1" si="2"/>
        <v>8.8244481248321627E-2</v>
      </c>
      <c r="J8" s="15" vm="129">
        <f ca="1">'Price Data'!F6</f>
        <v>294.52999999999997</v>
      </c>
      <c r="K8" s="25">
        <f t="shared" ca="1" si="3"/>
        <v>0.13389523450770682</v>
      </c>
      <c r="L8" s="15" vm="130">
        <f ca="1">'Price Data'!G6</f>
        <v>12.0562</v>
      </c>
      <c r="M8" s="25">
        <f t="shared" ca="1" si="4"/>
        <v>4.593720152661436E-2</v>
      </c>
      <c r="N8" s="15" vm="131">
        <f ca="1">'Price Data'!H6</f>
        <v>40.1</v>
      </c>
      <c r="O8" s="25">
        <f t="shared" ca="1" si="5"/>
        <v>0.11706633494172328</v>
      </c>
      <c r="P8" s="15" vm="132">
        <f ca="1">'Price Data'!I6</f>
        <v>88.64</v>
      </c>
      <c r="Q8" s="25">
        <f t="shared" ca="1" si="6"/>
        <v>-1.7335333178643091E-2</v>
      </c>
      <c r="R8" s="15" vm="133">
        <f ca="1">'Price Data'!J6</f>
        <v>254.72</v>
      </c>
      <c r="S8" s="25">
        <f t="shared" ca="1" si="7"/>
        <v>0.18353145928514555</v>
      </c>
      <c r="T8" s="15" vm="134">
        <f ca="1">'Price Data'!K6</f>
        <v>28.416399999999999</v>
      </c>
      <c r="U8" s="25">
        <f t="shared" ca="1" si="8"/>
        <v>-1.4796869129486313E-2</v>
      </c>
      <c r="V8" s="15" vm="135">
        <f ca="1">'Price Data'!L6</f>
        <v>231.87</v>
      </c>
      <c r="W8" s="25">
        <f t="shared" ca="1" si="9"/>
        <v>7.145417203644723E-2</v>
      </c>
      <c r="X8" s="15" vm="136">
        <f ca="1">'Price Data'!M6</f>
        <v>186.82</v>
      </c>
      <c r="Y8" s="25">
        <f t="shared" ca="1" si="10"/>
        <v>-9.2327663314405048E-2</v>
      </c>
      <c r="Z8" s="15" vm="137">
        <f ca="1">'Price Data'!N6</f>
        <v>103.126</v>
      </c>
      <c r="AA8" s="25">
        <f t="shared" ca="1" si="11"/>
        <v>1.9885926927474307E-2</v>
      </c>
      <c r="AB8" s="15" vm="138">
        <f ca="1">'Price Data'!O6</f>
        <v>161.0959</v>
      </c>
      <c r="AC8" s="25">
        <f t="shared" ca="1" si="12"/>
        <v>9.5901803723634105E-2</v>
      </c>
      <c r="AD8" s="15" vm="139">
        <f ca="1">'Price Data'!P6</f>
        <v>55.83</v>
      </c>
      <c r="AE8" s="25">
        <f t="shared" ca="1" si="13"/>
        <v>2.6498828164439877E-2</v>
      </c>
      <c r="AF8" s="15" vm="140">
        <f ca="1">'Price Data'!Q6</f>
        <v>131.85</v>
      </c>
      <c r="AG8" s="25">
        <f t="shared" ca="1" si="14"/>
        <v>6.1222069877563748E-2</v>
      </c>
      <c r="AH8" s="15" vm="141">
        <f ca="1">'Price Data'!R6</f>
        <v>133.26</v>
      </c>
      <c r="AI8" s="25">
        <f t="shared" ca="1" si="15"/>
        <v>0.11376702239523702</v>
      </c>
      <c r="AJ8" s="15" vm="142">
        <f ca="1">'Price Data'!S6</f>
        <v>122.15</v>
      </c>
      <c r="AK8" s="25">
        <f t="shared" ca="1" si="16"/>
        <v>7.3127970601647744E-3</v>
      </c>
      <c r="AL8" s="15" vm="143">
        <f ca="1">'Price Data'!T6</f>
        <v>305.25</v>
      </c>
      <c r="AM8" s="25">
        <f t="shared" ca="1" si="17"/>
        <v>0.16685456618694477</v>
      </c>
      <c r="AN8" s="15" vm="144">
        <f ca="1">'Price Data'!U6</f>
        <v>152.22999999999999</v>
      </c>
      <c r="AO8" s="25">
        <f t="shared" ca="1" si="18"/>
        <v>3.3804153895141256E-2</v>
      </c>
      <c r="AP8" s="15" vm="145">
        <f ca="1">'Price Data'!V6</f>
        <v>91.1</v>
      </c>
      <c r="AQ8" s="25">
        <f t="shared" ca="1" si="19"/>
        <v>4.9273266574576556E-2</v>
      </c>
      <c r="AR8" s="15" vm="146">
        <f ca="1">'Price Data'!W6</f>
        <v>22.859300000000001</v>
      </c>
      <c r="AS8" s="25">
        <f t="shared" ca="1" si="20"/>
        <v>8.1887567767068001E-2</v>
      </c>
      <c r="AT8" s="15" vm="147">
        <f ca="1">'Price Data'!X6</f>
        <v>35.99</v>
      </c>
      <c r="AU8" s="25">
        <f t="shared" ca="1" si="21"/>
        <v>0.11096415874783187</v>
      </c>
      <c r="AV8" s="15" vm="148">
        <f ca="1">'Price Data'!Y6</f>
        <v>36.229999999999997</v>
      </c>
      <c r="AW8" s="25">
        <f t="shared" ca="1" si="22"/>
        <v>7.8640618100872528E-2</v>
      </c>
      <c r="AX8" s="15" vm="149">
        <f ca="1">'Price Data'!Z6</f>
        <v>356.05</v>
      </c>
      <c r="AY8" s="25">
        <f t="shared" ca="1" si="23"/>
        <v>6.198075906339957E-3</v>
      </c>
      <c r="AZ8" s="15" vm="150">
        <f ca="1">'Price Data'!AA6</f>
        <v>235.77</v>
      </c>
      <c r="BA8" s="25">
        <f t="shared" ca="1" si="24"/>
        <v>1.4482790791477403E-2</v>
      </c>
      <c r="BB8" s="15" vm="151">
        <f ca="1">'Price Data'!AB6</f>
        <v>108.18</v>
      </c>
      <c r="BC8" s="25">
        <f t="shared" ca="1" si="25"/>
        <v>4.3935080665259273E-2</v>
      </c>
      <c r="BD8" s="15" vm="152">
        <f ca="1">'Price Data'!AC6</f>
        <v>45.276200000000003</v>
      </c>
      <c r="BE8" s="25">
        <f t="shared" ca="1" si="26"/>
        <v>4.4485696286644311E-2</v>
      </c>
      <c r="BF8" s="15" vm="153">
        <f ca="1">'Price Data'!AD6</f>
        <v>52.71</v>
      </c>
      <c r="BG8" s="25">
        <f t="shared" ca="1" si="27"/>
        <v>7.3188995216631997E-2</v>
      </c>
      <c r="BH8" s="15" vm="154">
        <f ca="1">'Price Data'!AE6</f>
        <v>224.14</v>
      </c>
      <c r="BI8" s="25">
        <f t="shared" ca="1" si="28"/>
        <v>8.3715307015235316E-2</v>
      </c>
      <c r="BJ8" s="15" vm="155">
        <f ca="1">'Price Data'!AF6</f>
        <v>397.82</v>
      </c>
      <c r="BK8" s="25">
        <f t="shared" ca="1" si="29"/>
        <v>4.1181308642704105E-2</v>
      </c>
    </row>
    <row r="9" spans="1:66" x14ac:dyDescent="0.25">
      <c r="A9" s="24">
        <f t="shared" ca="1" si="30"/>
        <v>44287</v>
      </c>
      <c r="B9" s="15" vm="156">
        <f ca="1">'Price Data'!B7</f>
        <v>236.4776</v>
      </c>
      <c r="C9" s="25">
        <f t="shared" ca="1" si="31"/>
        <v>6.0292430941647462E-2</v>
      </c>
      <c r="D9" s="15" vm="157">
        <f ca="1">'Price Data'!C7</f>
        <v>86.95</v>
      </c>
      <c r="E9" s="25">
        <f t="shared" ca="1" si="0"/>
        <v>1.5531142045897811E-2</v>
      </c>
      <c r="F9" s="15" vm="158">
        <f ca="1">'Price Data'!D7</f>
        <v>15.009499999999999</v>
      </c>
      <c r="G9" s="25">
        <f t="shared" ca="1" si="1"/>
        <v>0.11729429805086926</v>
      </c>
      <c r="H9" s="15" vm="159">
        <f ca="1">'Price Data'!E7</f>
        <v>54.4</v>
      </c>
      <c r="I9" s="25">
        <f t="shared" ca="1" si="2"/>
        <v>-5.6116204261504959E-2</v>
      </c>
      <c r="J9" s="15" vm="160">
        <f ca="1">'Price Data'!F7</f>
        <v>325.08</v>
      </c>
      <c r="K9" s="25">
        <f t="shared" ca="1" si="3"/>
        <v>9.8690440409355318E-2</v>
      </c>
      <c r="L9" s="15" vm="161">
        <f ca="1">'Price Data'!G7</f>
        <v>11.3574</v>
      </c>
      <c r="M9" s="25">
        <f t="shared" ca="1" si="4"/>
        <v>-5.9709536578668454E-2</v>
      </c>
      <c r="N9" s="15" vm="162">
        <f ca="1">'Price Data'!H7</f>
        <v>48.37</v>
      </c>
      <c r="O9" s="25">
        <f t="shared" ca="1" si="5"/>
        <v>0.18750345252236819</v>
      </c>
      <c r="P9" s="15" vm="163">
        <f ca="1">'Price Data'!I7</f>
        <v>96.72</v>
      </c>
      <c r="Q9" s="25">
        <f t="shared" ca="1" si="6"/>
        <v>8.723698330756352E-2</v>
      </c>
      <c r="R9" s="15" vm="164">
        <f ca="1">'Price Data'!J7</f>
        <v>234.31</v>
      </c>
      <c r="S9" s="25">
        <f t="shared" ca="1" si="7"/>
        <v>-8.3519877728676875E-2</v>
      </c>
      <c r="T9" s="15" vm="165">
        <f ca="1">'Price Data'!K7</f>
        <v>29.840599999999998</v>
      </c>
      <c r="U9" s="25">
        <f t="shared" ca="1" si="8"/>
        <v>4.8903439084756042E-2</v>
      </c>
      <c r="V9" s="15" vm="166">
        <f ca="1">'Price Data'!L7</f>
        <v>228.11</v>
      </c>
      <c r="W9" s="25">
        <f t="shared" ca="1" si="9"/>
        <v>-1.6348901036642008E-2</v>
      </c>
      <c r="X9" s="15" vm="167">
        <f ca="1">'Price Data'!M7</f>
        <v>182.77</v>
      </c>
      <c r="Y9" s="25">
        <f t="shared" ca="1" si="10"/>
        <v>-2.1917054678351783E-2</v>
      </c>
      <c r="Z9" s="15" vm="168">
        <f ca="1">'Price Data'!N7</f>
        <v>117.675</v>
      </c>
      <c r="AA9" s="25">
        <f t="shared" ca="1" si="11"/>
        <v>0.13197504570967913</v>
      </c>
      <c r="AB9" s="15" vm="169">
        <f ca="1">'Price Data'!O7</f>
        <v>164.82480000000001</v>
      </c>
      <c r="AC9" s="25">
        <f t="shared" ca="1" si="12"/>
        <v>2.2883251762432461E-2</v>
      </c>
      <c r="AD9" s="15" vm="170">
        <f ca="1">'Price Data'!P7</f>
        <v>57.24</v>
      </c>
      <c r="AE9" s="25">
        <f t="shared" ca="1" si="13"/>
        <v>2.4941595365981208E-2</v>
      </c>
      <c r="AF9" s="15" vm="171">
        <f ca="1">'Price Data'!Q7</f>
        <v>137.24</v>
      </c>
      <c r="AG9" s="25">
        <f t="shared" ca="1" si="14"/>
        <v>4.0066305190953361E-2</v>
      </c>
      <c r="AH9" s="15" vm="172">
        <f ca="1">'Price Data'!R7</f>
        <v>141.88</v>
      </c>
      <c r="AI9" s="25">
        <f t="shared" ca="1" si="15"/>
        <v>6.2679522771030033E-2</v>
      </c>
      <c r="AJ9" s="15" vm="173">
        <f ca="1">'Price Data'!S7</f>
        <v>131.46</v>
      </c>
      <c r="AK9" s="25">
        <f t="shared" ca="1" si="16"/>
        <v>7.3452825131680791E-2</v>
      </c>
      <c r="AL9" s="15" vm="174">
        <f ca="1">'Price Data'!T7</f>
        <v>323.67</v>
      </c>
      <c r="AM9" s="25">
        <f t="shared" ca="1" si="17"/>
        <v>5.8593365240544482E-2</v>
      </c>
      <c r="AN9" s="15" vm="175">
        <f ca="1">'Price Data'!U7</f>
        <v>153.81</v>
      </c>
      <c r="AO9" s="25">
        <f t="shared" ca="1" si="18"/>
        <v>1.0325539392556239E-2</v>
      </c>
      <c r="AP9" s="15" vm="176">
        <f ca="1">'Price Data'!V7</f>
        <v>100.36</v>
      </c>
      <c r="AQ9" s="25">
        <f t="shared" ca="1" si="19"/>
        <v>9.6805917232308886E-2</v>
      </c>
      <c r="AR9" s="15" vm="177">
        <f ca="1">'Price Data'!W7</f>
        <v>23.720199999999998</v>
      </c>
      <c r="AS9" s="25">
        <f t="shared" ca="1" si="20"/>
        <v>3.6968969071708525E-2</v>
      </c>
      <c r="AT9" s="15" vm="178">
        <f ca="1">'Price Data'!X7</f>
        <v>36.54</v>
      </c>
      <c r="AU9" s="25">
        <f t="shared" ca="1" si="21"/>
        <v>1.5166428858921249E-2</v>
      </c>
      <c r="AV9" s="15" vm="179">
        <f ca="1">'Price Data'!Y7</f>
        <v>38.65</v>
      </c>
      <c r="AW9" s="25">
        <f t="shared" ca="1" si="22"/>
        <v>6.4659270126445137E-2</v>
      </c>
      <c r="AX9" s="15" vm="180">
        <f ca="1">'Price Data'!Z7</f>
        <v>382.06</v>
      </c>
      <c r="AY9" s="25">
        <f t="shared" ca="1" si="23"/>
        <v>7.0506493907371917E-2</v>
      </c>
      <c r="AZ9" s="15" vm="181">
        <f ca="1">'Price Data'!AA7</f>
        <v>252.18</v>
      </c>
      <c r="BA9" s="25">
        <f t="shared" ca="1" si="24"/>
        <v>6.7286364698887033E-2</v>
      </c>
      <c r="BB9" s="15" vm="182">
        <f ca="1">'Price Data'!AB7</f>
        <v>119.52</v>
      </c>
      <c r="BC9" s="25">
        <f t="shared" ca="1" si="25"/>
        <v>9.968721494122619E-2</v>
      </c>
      <c r="BD9" s="15" vm="183">
        <f ca="1">'Price Data'!AC7</f>
        <v>46.636200000000002</v>
      </c>
      <c r="BE9" s="25">
        <f t="shared" ca="1" si="26"/>
        <v>2.9595555482539986E-2</v>
      </c>
      <c r="BF9" s="15" vm="184">
        <f ca="1">'Price Data'!AD7</f>
        <v>53.98</v>
      </c>
      <c r="BG9" s="25">
        <f t="shared" ca="1" si="27"/>
        <v>2.3808416722742969E-2</v>
      </c>
      <c r="BH9" s="15" vm="185">
        <f ca="1">'Price Data'!AE7</f>
        <v>236.08</v>
      </c>
      <c r="BI9" s="25">
        <f t="shared" ca="1" si="28"/>
        <v>5.1899874010802115E-2</v>
      </c>
      <c r="BJ9" s="15" vm="186">
        <f ca="1">'Price Data'!AF7</f>
        <v>418.88</v>
      </c>
      <c r="BK9" s="25">
        <f t="shared" ca="1" si="29"/>
        <v>5.1584841044620355E-2</v>
      </c>
    </row>
    <row r="10" spans="1:66" x14ac:dyDescent="0.25">
      <c r="A10" s="24">
        <f t="shared" ca="1" si="30"/>
        <v>44317</v>
      </c>
      <c r="B10" s="15" vm="187">
        <f ca="1">'Price Data'!B8</f>
        <v>208.40459999999999</v>
      </c>
      <c r="C10" s="25">
        <f t="shared" ca="1" si="31"/>
        <v>-0.12637210628627155</v>
      </c>
      <c r="D10" s="15" vm="95">
        <f ca="1">'Price Data'!C8</f>
        <v>93.27</v>
      </c>
      <c r="E10" s="25">
        <f t="shared" ca="1" si="0"/>
        <v>7.0165271938479962E-2</v>
      </c>
      <c r="F10" s="15" vm="188">
        <f ca="1">'Price Data'!D8</f>
        <v>16.244499999999999</v>
      </c>
      <c r="G10" s="25">
        <f t="shared" ca="1" si="1"/>
        <v>7.9071055981624283E-2</v>
      </c>
      <c r="H10" s="15" vm="189">
        <f ca="1">'Price Data'!E8</f>
        <v>58.35</v>
      </c>
      <c r="I10" s="25">
        <f t="shared" ca="1" si="2"/>
        <v>7.0095204870668171E-2</v>
      </c>
      <c r="J10" s="15" vm="190">
        <f ca="1">'Price Data'!F8</f>
        <v>328.73</v>
      </c>
      <c r="K10" s="25">
        <f t="shared" ca="1" si="3"/>
        <v>1.1165439254454257E-2</v>
      </c>
      <c r="L10" s="15" vm="191">
        <f ca="1">'Price Data'!G8</f>
        <v>14.3001</v>
      </c>
      <c r="M10" s="25">
        <f t="shared" ca="1" si="4"/>
        <v>0.23039701639031188</v>
      </c>
      <c r="N10" s="15" vm="192">
        <f ca="1">'Price Data'!H8</f>
        <v>48.47</v>
      </c>
      <c r="O10" s="25">
        <f t="shared" ca="1" si="5"/>
        <v>2.0652630223928501E-3</v>
      </c>
      <c r="P10" s="15" vm="193">
        <f ca="1">'Price Data'!I8</f>
        <v>93.95</v>
      </c>
      <c r="Q10" s="25">
        <f t="shared" ca="1" si="6"/>
        <v>-2.9057480447062831E-2</v>
      </c>
      <c r="R10" s="15" vm="194">
        <f ca="1">'Price Data'!J8</f>
        <v>247.02</v>
      </c>
      <c r="S10" s="25">
        <f t="shared" ca="1" si="7"/>
        <v>5.2824280082527091E-2</v>
      </c>
      <c r="T10" s="15" vm="195">
        <f ca="1">'Price Data'!K8</f>
        <v>27.439599999999999</v>
      </c>
      <c r="U10" s="25">
        <f t="shared" ca="1" si="8"/>
        <v>-8.3882656880058262E-2</v>
      </c>
      <c r="V10" s="15" vm="196">
        <f ca="1">'Price Data'!L8</f>
        <v>241.08</v>
      </c>
      <c r="W10" s="25">
        <f t="shared" ca="1" si="9"/>
        <v>5.5300859864596159E-2</v>
      </c>
      <c r="X10" s="15" vm="197">
        <f ca="1">'Price Data'!M8</f>
        <v>199.74</v>
      </c>
      <c r="Y10" s="25">
        <f t="shared" ca="1" si="10"/>
        <v>8.87879890486378E-2</v>
      </c>
      <c r="Z10" s="15" vm="198">
        <f ca="1">'Price Data'!N8</f>
        <v>117.8425</v>
      </c>
      <c r="AA10" s="25">
        <f t="shared" ca="1" si="11"/>
        <v>1.4223998491899501E-3</v>
      </c>
      <c r="AB10" s="15" vm="199">
        <f ca="1">'Price Data'!O8</f>
        <v>169.7577</v>
      </c>
      <c r="AC10" s="25">
        <f t="shared" ca="1" si="12"/>
        <v>2.9489034644309513E-2</v>
      </c>
      <c r="AD10" s="15" vm="200">
        <f ca="1">'Price Data'!P8</f>
        <v>58.37</v>
      </c>
      <c r="AE10" s="25">
        <f t="shared" ca="1" si="13"/>
        <v>1.9549104527449394E-2</v>
      </c>
      <c r="AF10" s="15" vm="201">
        <f ca="1">'Price Data'!Q8</f>
        <v>142.24</v>
      </c>
      <c r="AG10" s="25">
        <f t="shared" ca="1" si="14"/>
        <v>3.5784553775345569E-2</v>
      </c>
      <c r="AH10" s="15" vm="202">
        <f ca="1">'Price Data'!R8</f>
        <v>143.74</v>
      </c>
      <c r="AI10" s="25">
        <f t="shared" ca="1" si="15"/>
        <v>1.3024482134875611E-2</v>
      </c>
      <c r="AJ10" s="15" vm="203">
        <f ca="1">'Price Data'!S8</f>
        <v>124.61</v>
      </c>
      <c r="AK10" s="25">
        <f t="shared" ca="1" si="16"/>
        <v>-5.3513762880654001E-2</v>
      </c>
      <c r="AL10" s="15" vm="204">
        <f ca="1">'Price Data'!T8</f>
        <v>318.91000000000003</v>
      </c>
      <c r="AM10" s="25">
        <f t="shared" ca="1" si="17"/>
        <v>-1.4815546914580284E-2</v>
      </c>
      <c r="AN10" s="15" vm="205">
        <f ca="1">'Price Data'!U8</f>
        <v>164.24</v>
      </c>
      <c r="AO10" s="25">
        <f t="shared" ca="1" si="18"/>
        <v>6.5610698246959365E-2</v>
      </c>
      <c r="AP10" s="15" vm="206">
        <f ca="1">'Price Data'!V8</f>
        <v>106.97</v>
      </c>
      <c r="AQ10" s="25">
        <f t="shared" ca="1" si="19"/>
        <v>6.3784699819818033E-2</v>
      </c>
      <c r="AR10" s="15" vm="207">
        <f ca="1">'Price Data'!W8</f>
        <v>22.224900000000002</v>
      </c>
      <c r="AS10" s="25">
        <f t="shared" ca="1" si="20"/>
        <v>-6.5113723844906476E-2</v>
      </c>
      <c r="AT10" s="15" vm="208">
        <f ca="1">'Price Data'!X8</f>
        <v>36.979999999999997</v>
      </c>
      <c r="AU10" s="25">
        <f t="shared" ca="1" si="21"/>
        <v>1.1969675009118044E-2</v>
      </c>
      <c r="AV10" s="15" vm="209">
        <f ca="1">'Price Data'!Y8</f>
        <v>38.729999999999997</v>
      </c>
      <c r="AW10" s="25">
        <f t="shared" ca="1" si="22"/>
        <v>2.0677184932298381E-3</v>
      </c>
      <c r="AX10" s="15" vm="210">
        <f ca="1">'Price Data'!Z8</f>
        <v>360.58</v>
      </c>
      <c r="AY10" s="25">
        <f t="shared" ca="1" si="23"/>
        <v>-5.7863818221451632E-2</v>
      </c>
      <c r="AZ10" s="15" vm="211">
        <f ca="1">'Price Data'!AA8</f>
        <v>249.68</v>
      </c>
      <c r="BA10" s="25">
        <f t="shared" ca="1" si="24"/>
        <v>-9.9630202825563337E-3</v>
      </c>
      <c r="BB10" s="15" vm="212">
        <f ca="1">'Price Data'!AB8</f>
        <v>119.97</v>
      </c>
      <c r="BC10" s="25">
        <f t="shared" ca="1" si="25"/>
        <v>3.7579901423294444E-3</v>
      </c>
      <c r="BD10" s="15" vm="213">
        <f ca="1">'Price Data'!AC8</f>
        <v>47.3429</v>
      </c>
      <c r="BE10" s="25">
        <f t="shared" ca="1" si="26"/>
        <v>1.5039797592878591E-2</v>
      </c>
      <c r="BF10" s="15" vm="214">
        <f ca="1">'Price Data'!AD8</f>
        <v>55.29</v>
      </c>
      <c r="BG10" s="25">
        <f t="shared" ca="1" si="27"/>
        <v>2.3978452759983133E-2</v>
      </c>
      <c r="BH10" s="15" vm="215">
        <f ca="1">'Price Data'!AE8</f>
        <v>233.89</v>
      </c>
      <c r="BI10" s="25">
        <f t="shared" ca="1" si="28"/>
        <v>-9.3198112718814782E-3</v>
      </c>
      <c r="BJ10" s="15" vm="216">
        <f ca="1">'Price Data'!AF8</f>
        <v>421.65</v>
      </c>
      <c r="BK10" s="25">
        <f t="shared" ca="1" si="29"/>
        <v>6.5911032991153549E-3</v>
      </c>
    </row>
    <row r="11" spans="1:66" x14ac:dyDescent="0.25">
      <c r="A11" s="24">
        <f t="shared" ca="1" si="30"/>
        <v>44348</v>
      </c>
      <c r="B11" s="15" vm="217">
        <f ca="1">'Price Data'!B9</f>
        <v>226.56440000000001</v>
      </c>
      <c r="C11" s="25">
        <f t="shared" ca="1" si="31"/>
        <v>8.354784864845799E-2</v>
      </c>
      <c r="D11" s="15" vm="218">
        <f ca="1">'Price Data'!C9</f>
        <v>85.28</v>
      </c>
      <c r="E11" s="25">
        <f t="shared" ca="1" si="0"/>
        <v>-8.9558552321237703E-2</v>
      </c>
      <c r="F11" s="15" vm="219">
        <f ca="1">'Price Data'!D9</f>
        <v>20.002500000000001</v>
      </c>
      <c r="G11" s="25">
        <f t="shared" ca="1" si="1"/>
        <v>0.20810287579589118</v>
      </c>
      <c r="H11" s="15" vm="220">
        <f ca="1">'Price Data'!E9</f>
        <v>52.29</v>
      </c>
      <c r="I11" s="25">
        <f t="shared" ca="1" si="2"/>
        <v>-0.10965421053252583</v>
      </c>
      <c r="J11" s="15" vm="221">
        <f ca="1">'Price Data'!F9</f>
        <v>347.71</v>
      </c>
      <c r="K11" s="25">
        <f t="shared" ca="1" si="3"/>
        <v>5.6132053886438563E-2</v>
      </c>
      <c r="L11" s="15" vm="222">
        <f ca="1">'Price Data'!G9</f>
        <v>14.6249</v>
      </c>
      <c r="M11" s="25">
        <f t="shared" ca="1" si="4"/>
        <v>2.2459025239302401E-2</v>
      </c>
      <c r="N11" s="15" vm="223">
        <f ca="1">'Price Data'!H9</f>
        <v>45.82</v>
      </c>
      <c r="O11" s="25">
        <f t="shared" ca="1" si="5"/>
        <v>-5.6224372831935071E-2</v>
      </c>
      <c r="P11" s="15" vm="224">
        <f ca="1">'Price Data'!I9</f>
        <v>104.44</v>
      </c>
      <c r="Q11" s="25">
        <f t="shared" ca="1" si="6"/>
        <v>0.10585001797145373</v>
      </c>
      <c r="R11" s="15" vm="225">
        <f ca="1">'Price Data'!J9</f>
        <v>239.56</v>
      </c>
      <c r="S11" s="25">
        <f t="shared" ca="1" si="7"/>
        <v>-3.0665397613606666E-2</v>
      </c>
      <c r="T11" s="15" vm="226">
        <f ca="1">'Price Data'!K9</f>
        <v>31.006799999999998</v>
      </c>
      <c r="U11" s="25">
        <f t="shared" ca="1" si="8"/>
        <v>0.12221930977714084</v>
      </c>
      <c r="V11" s="15" vm="227">
        <f ca="1">'Price Data'!L9</f>
        <v>217.63</v>
      </c>
      <c r="W11" s="25">
        <f t="shared" ca="1" si="9"/>
        <v>-0.10233245548886764</v>
      </c>
      <c r="X11" s="15" vm="228">
        <f ca="1">'Price Data'!M9</f>
        <v>229.52</v>
      </c>
      <c r="Y11" s="25">
        <f t="shared" ca="1" si="10"/>
        <v>0.13897365085812077</v>
      </c>
      <c r="Z11" s="15" vm="229">
        <f ca="1">'Price Data'!N9</f>
        <v>122.0895</v>
      </c>
      <c r="AA11" s="25">
        <f t="shared" ca="1" si="11"/>
        <v>3.5405395196478534E-2</v>
      </c>
      <c r="AB11" s="15" vm="230">
        <f ca="1">'Price Data'!O9</f>
        <v>166.07060000000001</v>
      </c>
      <c r="AC11" s="25">
        <f t="shared" ca="1" si="12"/>
        <v>-2.1959127088336694E-2</v>
      </c>
      <c r="AD11" s="15" vm="231">
        <f ca="1">'Price Data'!P9</f>
        <v>63.08</v>
      </c>
      <c r="AE11" s="25">
        <f t="shared" ca="1" si="13"/>
        <v>7.7601702879137993E-2</v>
      </c>
      <c r="AF11" s="15" vm="232">
        <f ca="1">'Price Data'!Q9</f>
        <v>144.63999999999999</v>
      </c>
      <c r="AG11" s="25">
        <f t="shared" ca="1" si="14"/>
        <v>1.6732124878271859E-2</v>
      </c>
      <c r="AH11" s="15" vm="233">
        <f ca="1">'Price Data'!R9</f>
        <v>146.59</v>
      </c>
      <c r="AI11" s="25">
        <f t="shared" ca="1" si="15"/>
        <v>1.9633462261643104E-2</v>
      </c>
      <c r="AJ11" s="15" vm="234">
        <f ca="1">'Price Data'!S9</f>
        <v>136.96</v>
      </c>
      <c r="AK11" s="25">
        <f t="shared" ca="1" si="16"/>
        <v>9.4500052438655807E-2</v>
      </c>
      <c r="AL11" s="15" vm="235">
        <f ca="1">'Price Data'!T9</f>
        <v>318.89</v>
      </c>
      <c r="AM11" s="25">
        <f t="shared" ca="1" si="17"/>
        <v>-6.271558484355691E-5</v>
      </c>
      <c r="AN11" s="15" vm="236">
        <f ca="1">'Price Data'!U9</f>
        <v>155.54</v>
      </c>
      <c r="AO11" s="25">
        <f t="shared" ca="1" si="18"/>
        <v>-5.4425839443881033E-2</v>
      </c>
      <c r="AP11" s="15" vm="237">
        <f ca="1">'Price Data'!V9</f>
        <v>102.47</v>
      </c>
      <c r="AQ11" s="25">
        <f t="shared" ca="1" si="19"/>
        <v>-4.2978348506412925E-2</v>
      </c>
      <c r="AR11" s="15" vm="238">
        <f ca="1">'Price Data'!W9</f>
        <v>21.734100000000002</v>
      </c>
      <c r="AS11" s="25">
        <f t="shared" ca="1" si="20"/>
        <v>-2.2330826236344286E-2</v>
      </c>
      <c r="AT11" s="15" vm="24">
        <f ca="1">'Price Data'!X9</f>
        <v>38.31</v>
      </c>
      <c r="AU11" s="25">
        <f t="shared" ca="1" si="21"/>
        <v>3.5333732753578928E-2</v>
      </c>
      <c r="AV11" s="15" vm="239">
        <f ca="1">'Price Data'!Y9</f>
        <v>39.159999999999997</v>
      </c>
      <c r="AW11" s="25">
        <f t="shared" ca="1" si="22"/>
        <v>1.1041324135648845E-2</v>
      </c>
      <c r="AX11" s="15" vm="240">
        <f ca="1">'Price Data'!Z9</f>
        <v>365.09</v>
      </c>
      <c r="AY11" s="25">
        <f t="shared" ca="1" si="23"/>
        <v>1.2430052416199504E-2</v>
      </c>
      <c r="AZ11" s="15" vm="241">
        <f ca="1">'Price Data'!AA9</f>
        <v>270.89999999999998</v>
      </c>
      <c r="BA11" s="25">
        <f t="shared" ca="1" si="24"/>
        <v>8.1569651128525225E-2</v>
      </c>
      <c r="BB11" s="15" vm="242">
        <f ca="1">'Price Data'!AB9</f>
        <v>115.03</v>
      </c>
      <c r="BC11" s="25">
        <f t="shared" ca="1" si="25"/>
        <v>-4.2048747618917755E-2</v>
      </c>
      <c r="BD11" s="15" vm="243">
        <f ca="1">'Price Data'!AC9</f>
        <v>47.0062</v>
      </c>
      <c r="BE11" s="25">
        <f t="shared" ca="1" si="26"/>
        <v>-7.1373532835210286E-3</v>
      </c>
      <c r="BF11" s="15" vm="244">
        <f ca="1">'Price Data'!AD9</f>
        <v>54.11</v>
      </c>
      <c r="BG11" s="25">
        <f t="shared" ca="1" si="27"/>
        <v>-2.1573048695197754E-2</v>
      </c>
      <c r="BH11" s="15" vm="245">
        <f ca="1">'Price Data'!AE9</f>
        <v>230.99</v>
      </c>
      <c r="BI11" s="25">
        <f t="shared" ca="1" si="28"/>
        <v>-1.2476499821339922E-2</v>
      </c>
      <c r="BJ11" s="15" vm="246">
        <f ca="1">'Price Data'!AF9</f>
        <v>429.92</v>
      </c>
      <c r="BK11" s="25">
        <f t="shared" ca="1" si="29"/>
        <v>1.9423558846530537E-2</v>
      </c>
    </row>
    <row r="12" spans="1:66" x14ac:dyDescent="0.25">
      <c r="A12" s="24">
        <f t="shared" ca="1" si="30"/>
        <v>44378</v>
      </c>
      <c r="B12" s="15" vm="247">
        <f ca="1">'Price Data'!B10</f>
        <v>229.06440000000001</v>
      </c>
      <c r="C12" s="25">
        <f t="shared" ca="1" si="31"/>
        <v>1.0973955505243367E-2</v>
      </c>
      <c r="D12" s="15" vm="248">
        <f ca="1">'Price Data'!C10</f>
        <v>76.87</v>
      </c>
      <c r="E12" s="25">
        <f t="shared" ca="1" si="0"/>
        <v>-0.10382427705649375</v>
      </c>
      <c r="F12" s="15" vm="249">
        <f ca="1">'Price Data'!D10</f>
        <v>19.498999999999999</v>
      </c>
      <c r="G12" s="25">
        <f t="shared" ca="1" si="1"/>
        <v>-2.5494083538692352E-2</v>
      </c>
      <c r="H12" s="15" vm="250">
        <f ca="1">'Price Data'!E10</f>
        <v>46.72</v>
      </c>
      <c r="I12" s="25">
        <f t="shared" ca="1" si="2"/>
        <v>-0.11263280968006764</v>
      </c>
      <c r="J12" s="15" vm="251">
        <f ca="1">'Price Data'!F10</f>
        <v>356.3</v>
      </c>
      <c r="K12" s="25">
        <f t="shared" ca="1" si="3"/>
        <v>2.4404273585893598E-2</v>
      </c>
      <c r="L12" s="15" vm="252">
        <f ca="1">'Price Data'!G10</f>
        <v>13.7293</v>
      </c>
      <c r="M12" s="25">
        <f t="shared" ca="1" si="4"/>
        <v>-6.3193320255877622E-2</v>
      </c>
      <c r="N12" s="15" vm="253">
        <f ca="1">'Price Data'!H10</f>
        <v>39.619999999999997</v>
      </c>
      <c r="O12" s="25">
        <f t="shared" ca="1" si="5"/>
        <v>-0.14538663575494459</v>
      </c>
      <c r="P12" s="15" vm="254">
        <f ca="1">'Price Data'!I10</f>
        <v>114.12</v>
      </c>
      <c r="Q12" s="25">
        <f t="shared" ca="1" si="6"/>
        <v>8.8637782514371113E-2</v>
      </c>
      <c r="R12" s="15" vm="255">
        <f ca="1">'Price Data'!J10</f>
        <v>226.48</v>
      </c>
      <c r="S12" s="25">
        <f t="shared" ca="1" si="7"/>
        <v>-5.6147266592617553E-2</v>
      </c>
      <c r="T12" s="15" vm="256">
        <f ca="1">'Price Data'!K10</f>
        <v>37.268799999999999</v>
      </c>
      <c r="U12" s="25">
        <f t="shared" ca="1" si="8"/>
        <v>0.18394998022585196</v>
      </c>
      <c r="V12" s="15" vm="257">
        <f ca="1">'Price Data'!L10</f>
        <v>206.75</v>
      </c>
      <c r="W12" s="25">
        <f t="shared" ca="1" si="9"/>
        <v>-5.1286039222175034E-2</v>
      </c>
      <c r="X12" s="15" vm="258">
        <f ca="1">'Price Data'!M10</f>
        <v>243.5</v>
      </c>
      <c r="Y12" s="25">
        <f t="shared" ca="1" si="10"/>
        <v>5.9126770849535062E-2</v>
      </c>
      <c r="Z12" s="15" vm="259">
        <f ca="1">'Price Data'!N10</f>
        <v>134.72649999999999</v>
      </c>
      <c r="AA12" s="25">
        <f t="shared" ca="1" si="11"/>
        <v>9.849241521576145E-2</v>
      </c>
      <c r="AB12" s="15" vm="260">
        <f ca="1">'Price Data'!O10</f>
        <v>165.49369999999999</v>
      </c>
      <c r="AC12" s="25">
        <f t="shared" ca="1" si="12"/>
        <v>-3.4798715191255302E-3</v>
      </c>
      <c r="AD12" s="15" vm="261">
        <f ca="1">'Price Data'!P10</f>
        <v>57.57</v>
      </c>
      <c r="AE12" s="25">
        <f t="shared" ca="1" si="13"/>
        <v>-9.1402163407119374E-2</v>
      </c>
      <c r="AF12" s="15" vm="262">
        <f ca="1">'Price Data'!Q10</f>
        <v>157.19999999999999</v>
      </c>
      <c r="AG12" s="25">
        <f t="shared" ca="1" si="14"/>
        <v>8.3270983351239794E-2</v>
      </c>
      <c r="AH12" s="15" vm="263">
        <f ca="1">'Price Data'!R10</f>
        <v>140.96</v>
      </c>
      <c r="AI12" s="25">
        <f t="shared" ca="1" si="15"/>
        <v>-3.9163412114070352E-2</v>
      </c>
      <c r="AJ12" s="15" vm="264">
        <f ca="1">'Price Data'!S10</f>
        <v>145.86000000000001</v>
      </c>
      <c r="AK12" s="25">
        <f t="shared" ca="1" si="16"/>
        <v>6.2958345162655041E-2</v>
      </c>
      <c r="AL12" s="15" vm="265">
        <f ca="1">'Price Data'!T10</f>
        <v>328.19</v>
      </c>
      <c r="AM12" s="25">
        <f t="shared" ca="1" si="17"/>
        <v>2.8746493233777894E-2</v>
      </c>
      <c r="AN12" s="15" vm="266">
        <f ca="1">'Price Data'!U10</f>
        <v>151.78</v>
      </c>
      <c r="AO12" s="25">
        <f t="shared" ca="1" si="18"/>
        <v>-2.4470829291030432E-2</v>
      </c>
      <c r="AP12" s="15" vm="267">
        <f ca="1">'Price Data'!V10</f>
        <v>100.28</v>
      </c>
      <c r="AQ12" s="25">
        <f t="shared" ca="1" si="19"/>
        <v>-2.1603799521533847E-2</v>
      </c>
      <c r="AR12" s="15" vm="268">
        <f ca="1">'Price Data'!W10</f>
        <v>21.1828</v>
      </c>
      <c r="AS12" s="25">
        <f t="shared" ca="1" si="20"/>
        <v>-2.5692924091488326E-2</v>
      </c>
      <c r="AT12" s="15" vm="269">
        <f ca="1">'Price Data'!X10</f>
        <v>40.700000000000003</v>
      </c>
      <c r="AU12" s="25">
        <f t="shared" ca="1" si="21"/>
        <v>6.0517133735991727E-2</v>
      </c>
      <c r="AV12" s="15" vm="270">
        <f ca="1">'Price Data'!Y10</f>
        <v>42.81</v>
      </c>
      <c r="AW12" s="25">
        <f t="shared" ca="1" si="22"/>
        <v>8.9115902494545221E-2</v>
      </c>
      <c r="AX12" s="15" vm="271">
        <f ca="1">'Price Data'!Z10</f>
        <v>385.94</v>
      </c>
      <c r="AY12" s="25">
        <f t="shared" ca="1" si="23"/>
        <v>5.5538018437955999E-2</v>
      </c>
      <c r="AZ12" s="15" vm="272">
        <f ca="1">'Price Data'!AA10</f>
        <v>284.91000000000003</v>
      </c>
      <c r="BA12" s="25">
        <f t="shared" ca="1" si="24"/>
        <v>5.042359183192166E-2</v>
      </c>
      <c r="BB12" s="15" vm="273">
        <f ca="1">'Price Data'!AB10</f>
        <v>131.38999999999999</v>
      </c>
      <c r="BC12" s="25">
        <f t="shared" ca="1" si="25"/>
        <v>0.13297703574581174</v>
      </c>
      <c r="BD12" s="15" vm="274">
        <f ca="1">'Price Data'!AC10</f>
        <v>47.516199999999998</v>
      </c>
      <c r="BE12" s="25">
        <f t="shared" ca="1" si="26"/>
        <v>1.0791197623274525E-2</v>
      </c>
      <c r="BF12" s="15" vm="275">
        <f ca="1">'Price Data'!AD10</f>
        <v>57.03</v>
      </c>
      <c r="BG12" s="25">
        <f t="shared" ca="1" si="27"/>
        <v>5.2558433513803543E-2</v>
      </c>
      <c r="BH12" s="15" vm="276">
        <f ca="1">'Price Data'!AE10</f>
        <v>242.71</v>
      </c>
      <c r="BI12" s="25">
        <f t="shared" ca="1" si="28"/>
        <v>4.9492895473705514E-2</v>
      </c>
      <c r="BJ12" s="15" vm="277">
        <f ca="1">'Price Data'!AF10</f>
        <v>440.4</v>
      </c>
      <c r="BK12" s="25">
        <f t="shared" ca="1" si="29"/>
        <v>2.4084259981343677E-2</v>
      </c>
    </row>
    <row r="13" spans="1:66" x14ac:dyDescent="0.25">
      <c r="A13" s="24">
        <f t="shared" ca="1" si="30"/>
        <v>44409</v>
      </c>
      <c r="B13" s="15" vm="278">
        <f ca="1">'Price Data'!B11</f>
        <v>245.23750000000001</v>
      </c>
      <c r="C13" s="25">
        <f t="shared" ca="1" si="31"/>
        <v>6.8223942020977563E-2</v>
      </c>
      <c r="D13" s="15" vm="279">
        <f ca="1">'Price Data'!C11</f>
        <v>82.73</v>
      </c>
      <c r="E13" s="25">
        <f t="shared" ca="1" si="0"/>
        <v>7.3466609841050814E-2</v>
      </c>
      <c r="F13" s="15" vm="280">
        <f ca="1">'Price Data'!D11</f>
        <v>22.385000000000002</v>
      </c>
      <c r="G13" s="25">
        <f t="shared" ca="1" si="1"/>
        <v>0.13802790948947929</v>
      </c>
      <c r="H13" s="15" vm="281">
        <f ca="1">'Price Data'!E11</f>
        <v>46.51</v>
      </c>
      <c r="I13" s="25">
        <f t="shared" ca="1" si="2"/>
        <v>-4.5049952839659544E-3</v>
      </c>
      <c r="J13" s="15" vm="282">
        <f ca="1">'Price Data'!F11</f>
        <v>379.38</v>
      </c>
      <c r="K13" s="25">
        <f t="shared" ca="1" si="3"/>
        <v>6.2765268686786405E-2</v>
      </c>
      <c r="L13" s="15" vm="283">
        <f ca="1">'Price Data'!G11</f>
        <v>12.8239</v>
      </c>
      <c r="M13" s="25">
        <f t="shared" ca="1" si="4"/>
        <v>-6.8221617833957138E-2</v>
      </c>
      <c r="N13" s="15" vm="284">
        <f ca="1">'Price Data'!H11</f>
        <v>39.53</v>
      </c>
      <c r="O13" s="25">
        <f t="shared" ca="1" si="5"/>
        <v>-2.2741639618106815E-3</v>
      </c>
      <c r="P13" s="15" vm="285">
        <f ca="1">'Price Data'!I11</f>
        <v>127.53</v>
      </c>
      <c r="Q13" s="25">
        <f t="shared" ca="1" si="6"/>
        <v>0.11110110469350915</v>
      </c>
      <c r="R13" s="15" vm="286">
        <f ca="1">'Price Data'!J11</f>
        <v>219.5</v>
      </c>
      <c r="S13" s="25">
        <f t="shared" ca="1" si="7"/>
        <v>-3.1304408288418066E-2</v>
      </c>
      <c r="T13" s="15" vm="287">
        <f ca="1">'Price Data'!K11</f>
        <v>38.066600000000001</v>
      </c>
      <c r="U13" s="25">
        <f t="shared" ca="1" si="8"/>
        <v>2.1180741743828609E-2</v>
      </c>
      <c r="V13" s="15" vm="288">
        <f ca="1">'Price Data'!L11</f>
        <v>210.87</v>
      </c>
      <c r="W13" s="25">
        <f t="shared" ca="1" si="9"/>
        <v>1.9731495952122927E-2</v>
      </c>
      <c r="X13" s="15" vm="289">
        <f ca="1">'Price Data'!M11</f>
        <v>258.29000000000002</v>
      </c>
      <c r="Y13" s="25">
        <f t="shared" ca="1" si="10"/>
        <v>5.8966042156857169E-2</v>
      </c>
      <c r="Z13" s="15" vm="290">
        <f ca="1">'Price Data'!N11</f>
        <v>144.69749999999999</v>
      </c>
      <c r="AA13" s="25">
        <f t="shared" ca="1" si="11"/>
        <v>7.1398558814464511E-2</v>
      </c>
      <c r="AB13" s="15" vm="291">
        <f ca="1">'Price Data'!O11</f>
        <v>162.81819999999999</v>
      </c>
      <c r="AC13" s="25">
        <f t="shared" ca="1" si="12"/>
        <v>-1.6298886695521098E-2</v>
      </c>
      <c r="AD13" s="15" vm="292">
        <f ca="1">'Price Data'!P11</f>
        <v>54.52</v>
      </c>
      <c r="AE13" s="25">
        <f t="shared" ca="1" si="13"/>
        <v>-5.4433991859386376E-2</v>
      </c>
      <c r="AF13" s="15" vm="293">
        <f ca="1">'Price Data'!Q11</f>
        <v>174.43</v>
      </c>
      <c r="AG13" s="25">
        <f t="shared" ca="1" si="14"/>
        <v>0.10400463503493731</v>
      </c>
      <c r="AH13" s="15" vm="294">
        <f ca="1">'Price Data'!R11</f>
        <v>140.34</v>
      </c>
      <c r="AI13" s="25">
        <f t="shared" ca="1" si="15"/>
        <v>-4.4081123637267714E-3</v>
      </c>
      <c r="AJ13" s="15" vm="295">
        <f ca="1">'Price Data'!S11</f>
        <v>151.83000000000001</v>
      </c>
      <c r="AK13" s="25">
        <f t="shared" ca="1" si="16"/>
        <v>4.0114216338009302E-2</v>
      </c>
      <c r="AL13" s="15" vm="296">
        <f ca="1">'Price Data'!T11</f>
        <v>326.18</v>
      </c>
      <c r="AM13" s="25">
        <f t="shared" ca="1" si="17"/>
        <v>-6.1433327369408266E-3</v>
      </c>
      <c r="AN13" s="15" vm="297">
        <f ca="1">'Price Data'!U11</f>
        <v>159.94999999999999</v>
      </c>
      <c r="AO13" s="25">
        <f t="shared" ca="1" si="18"/>
        <v>5.2429162419760131E-2</v>
      </c>
      <c r="AP13" s="15" vm="298">
        <f ca="1">'Price Data'!V11</f>
        <v>105.88</v>
      </c>
      <c r="AQ13" s="25">
        <f t="shared" ca="1" si="19"/>
        <v>5.4340104068807911E-2</v>
      </c>
      <c r="AR13" s="15" vm="299">
        <f ca="1">'Price Data'!W11</f>
        <v>20.707000000000001</v>
      </c>
      <c r="AS13" s="25">
        <f t="shared" ca="1" si="20"/>
        <v>-2.271772426655521E-2</v>
      </c>
      <c r="AT13" s="15" vm="300">
        <f ca="1">'Price Data'!X11</f>
        <v>46.03</v>
      </c>
      <c r="AU13" s="25">
        <f t="shared" ca="1" si="21"/>
        <v>0.12306526538060071</v>
      </c>
      <c r="AV13" s="15" vm="301">
        <f ca="1">'Price Data'!Y11</f>
        <v>46.07</v>
      </c>
      <c r="AW13" s="25">
        <f t="shared" ca="1" si="22"/>
        <v>7.3390258790970761E-2</v>
      </c>
      <c r="AX13" s="15" vm="302">
        <f ca="1">'Price Data'!Z11</f>
        <v>346.23</v>
      </c>
      <c r="AY13" s="25">
        <f t="shared" ca="1" si="23"/>
        <v>-0.10857862286778656</v>
      </c>
      <c r="AZ13" s="15" vm="303">
        <f ca="1">'Price Data'!AA11</f>
        <v>301.88</v>
      </c>
      <c r="BA13" s="25">
        <f t="shared" ca="1" si="24"/>
        <v>5.7856246493696771E-2</v>
      </c>
      <c r="BB13" s="15" vm="304">
        <f ca="1">'Price Data'!AB11</f>
        <v>131.03</v>
      </c>
      <c r="BC13" s="25">
        <f t="shared" ca="1" si="25"/>
        <v>-2.7436950372367297E-3</v>
      </c>
      <c r="BD13" s="15" vm="305">
        <f ca="1">'Price Data'!AC11</f>
        <v>49.366199999999999</v>
      </c>
      <c r="BE13" s="25">
        <f t="shared" ca="1" si="26"/>
        <v>3.8195273961768639E-2</v>
      </c>
      <c r="BF13" s="15" vm="306">
        <f ca="1">'Price Data'!AD11</f>
        <v>56.31</v>
      </c>
      <c r="BG13" s="25">
        <f t="shared" ca="1" si="27"/>
        <v>-1.2705305901920315E-2</v>
      </c>
      <c r="BH13" s="15" vm="307">
        <f ca="1">'Price Data'!AE11</f>
        <v>237.46</v>
      </c>
      <c r="BI13" s="25">
        <f t="shared" ca="1" si="28"/>
        <v>-2.1868126777521757E-2</v>
      </c>
      <c r="BJ13" s="15" vm="308">
        <f ca="1">'Price Data'!AF11</f>
        <v>453.71</v>
      </c>
      <c r="BK13" s="25">
        <f t="shared" ca="1" si="29"/>
        <v>2.9774822574747176E-2</v>
      </c>
    </row>
    <row r="14" spans="1:66" x14ac:dyDescent="0.25">
      <c r="A14" s="24">
        <f t="shared" ca="1" si="30"/>
        <v>44440</v>
      </c>
      <c r="B14" s="15" vm="309">
        <f ca="1">'Price Data'!B12</f>
        <v>258.4907</v>
      </c>
      <c r="C14" s="25">
        <f t="shared" ca="1" si="31"/>
        <v>5.2632587765188053E-2</v>
      </c>
      <c r="D14" s="15" vm="310">
        <f ca="1">'Price Data'!C12</f>
        <v>88.95</v>
      </c>
      <c r="E14" s="25">
        <f t="shared" ca="1" si="0"/>
        <v>7.2492120909752614E-2</v>
      </c>
      <c r="F14" s="15" vm="311">
        <f ca="1">'Price Data'!D12</f>
        <v>20.716000000000001</v>
      </c>
      <c r="G14" s="25">
        <f t="shared" ca="1" si="1"/>
        <v>-7.7484743131283812E-2</v>
      </c>
      <c r="H14" s="15" vm="312">
        <f ca="1">'Price Data'!E12</f>
        <v>47.57</v>
      </c>
      <c r="I14" s="25">
        <f t="shared" ca="1" si="2"/>
        <v>2.2534967208184434E-2</v>
      </c>
      <c r="J14" s="15" vm="313">
        <f ca="1">'Price Data'!F12</f>
        <v>339.39</v>
      </c>
      <c r="K14" s="25">
        <f t="shared" ca="1" si="3"/>
        <v>-0.11138845269209174</v>
      </c>
      <c r="L14" s="15" vm="314">
        <f ca="1">'Price Data'!G12</f>
        <v>13.936</v>
      </c>
      <c r="M14" s="25">
        <f t="shared" ca="1" si="4"/>
        <v>8.3164802712275665E-2</v>
      </c>
      <c r="N14" s="15" vm="315">
        <f ca="1">'Price Data'!H12</f>
        <v>36.61</v>
      </c>
      <c r="O14" s="25">
        <f t="shared" ca="1" si="5"/>
        <v>-7.6738450176449299E-2</v>
      </c>
      <c r="P14" s="15" vm="316">
        <f ca="1">'Price Data'!I12</f>
        <v>126.99</v>
      </c>
      <c r="Q14" s="25">
        <f t="shared" ca="1" si="6"/>
        <v>-4.2432878378664326E-3</v>
      </c>
      <c r="R14" s="15" vm="317">
        <f ca="1">'Price Data'!J12</f>
        <v>219.94</v>
      </c>
      <c r="S14" s="25">
        <f t="shared" ca="1" si="7"/>
        <v>2.002549367562432E-3</v>
      </c>
      <c r="T14" s="15" vm="318">
        <f ca="1">'Price Data'!K12</f>
        <v>36.3504</v>
      </c>
      <c r="U14" s="25">
        <f t="shared" ca="1" si="8"/>
        <v>-4.6132049193250618E-2</v>
      </c>
      <c r="V14" s="15" vm="319">
        <f ca="1">'Price Data'!L12</f>
        <v>191.97</v>
      </c>
      <c r="W14" s="25">
        <f t="shared" ca="1" si="9"/>
        <v>-9.3902720036445092E-2</v>
      </c>
      <c r="X14" s="15" vm="320">
        <f ca="1">'Price Data'!M12</f>
        <v>231.05</v>
      </c>
      <c r="Y14" s="25">
        <f t="shared" ca="1" si="10"/>
        <v>-0.11144884736322619</v>
      </c>
      <c r="Z14" s="15" vm="321">
        <f ca="1">'Price Data'!N12</f>
        <v>133.67599999999999</v>
      </c>
      <c r="AA14" s="25">
        <f t="shared" ca="1" si="11"/>
        <v>-7.9226394725914445E-2</v>
      </c>
      <c r="AB14" s="15" vm="322">
        <f ca="1">'Price Data'!O12</f>
        <v>146.6652</v>
      </c>
      <c r="AC14" s="25">
        <f t="shared" ca="1" si="12"/>
        <v>-0.10448180273759655</v>
      </c>
      <c r="AD14" s="15" vm="323">
        <f ca="1">'Price Data'!P12</f>
        <v>58.82</v>
      </c>
      <c r="AE14" s="25">
        <f t="shared" ca="1" si="13"/>
        <v>7.5914326297517126E-2</v>
      </c>
      <c r="AF14" s="15" vm="324">
        <f ca="1">'Price Data'!Q12</f>
        <v>155.46</v>
      </c>
      <c r="AG14" s="25">
        <f t="shared" ca="1" si="14"/>
        <v>-0.11513505122796978</v>
      </c>
      <c r="AH14" s="15" vm="325">
        <f ca="1">'Price Data'!R12</f>
        <v>138.93</v>
      </c>
      <c r="AI14" s="25">
        <f t="shared" ca="1" si="15"/>
        <v>-1.0097840663372364E-2</v>
      </c>
      <c r="AJ14" s="15" vm="326">
        <f ca="1">'Price Data'!S12</f>
        <v>141.5</v>
      </c>
      <c r="AK14" s="25">
        <f t="shared" ca="1" si="16"/>
        <v>-7.0461756810804105E-2</v>
      </c>
      <c r="AL14" s="15" vm="327">
        <f ca="1">'Price Data'!T12</f>
        <v>328.26</v>
      </c>
      <c r="AM14" s="25">
        <f t="shared" ca="1" si="17"/>
        <v>6.3566010750178434E-3</v>
      </c>
      <c r="AN14" s="15" vm="328">
        <f ca="1">'Price Data'!U12</f>
        <v>163.69</v>
      </c>
      <c r="AO14" s="25">
        <f t="shared" ca="1" si="18"/>
        <v>2.3113128760736273E-2</v>
      </c>
      <c r="AP14" s="15" vm="329">
        <f ca="1">'Price Data'!V12</f>
        <v>105.2</v>
      </c>
      <c r="AQ14" s="25">
        <f t="shared" ca="1" si="19"/>
        <v>-6.4430770552909942E-3</v>
      </c>
      <c r="AR14" s="15" vm="330">
        <f ca="1">'Price Data'!W12</f>
        <v>20.397400000000001</v>
      </c>
      <c r="AS14" s="25">
        <f t="shared" ca="1" si="20"/>
        <v>-1.506436561067551E-2</v>
      </c>
      <c r="AT14" s="15" vm="331">
        <f ca="1">'Price Data'!X12</f>
        <v>40.43</v>
      </c>
      <c r="AU14" s="25">
        <f t="shared" ca="1" si="21"/>
        <v>-0.12972127417647061</v>
      </c>
      <c r="AV14" s="15" vm="332">
        <f ca="1">'Price Data'!Y12</f>
        <v>43.01</v>
      </c>
      <c r="AW14" s="25">
        <f t="shared" ca="1" si="22"/>
        <v>-6.8729332152180772E-2</v>
      </c>
      <c r="AX14" s="15" vm="333">
        <f ca="1">'Price Data'!Z12</f>
        <v>347.68</v>
      </c>
      <c r="AY14" s="25">
        <f t="shared" ca="1" si="23"/>
        <v>4.1792224076964198E-3</v>
      </c>
      <c r="AZ14" s="15" vm="334">
        <f ca="1">'Price Data'!AA12</f>
        <v>281.92</v>
      </c>
      <c r="BA14" s="25">
        <f t="shared" ca="1" si="24"/>
        <v>-6.8406244668852909E-2</v>
      </c>
      <c r="BB14" s="15" vm="335">
        <f ca="1">'Price Data'!AB12</f>
        <v>122.31</v>
      </c>
      <c r="BC14" s="25">
        <f t="shared" ca="1" si="25"/>
        <v>-6.8867499117222175E-2</v>
      </c>
      <c r="BD14" s="15" vm="336">
        <f ca="1">'Price Data'!AC12</f>
        <v>46.459499999999998</v>
      </c>
      <c r="BE14" s="25">
        <f t="shared" ca="1" si="26"/>
        <v>-6.0685014150121286E-2</v>
      </c>
      <c r="BF14" s="15" vm="337">
        <f ca="1">'Price Data'!AD12</f>
        <v>52.47</v>
      </c>
      <c r="BG14" s="25">
        <f t="shared" ca="1" si="27"/>
        <v>-7.0630561567906772E-2</v>
      </c>
      <c r="BH14" s="15" vm="338">
        <f ca="1">'Price Data'!AE12</f>
        <v>241.11</v>
      </c>
      <c r="BI14" s="25">
        <f t="shared" ca="1" si="28"/>
        <v>1.5254072655090512E-2</v>
      </c>
      <c r="BJ14" s="15" vm="339">
        <f ca="1">'Price Data'!AF12</f>
        <v>430.82</v>
      </c>
      <c r="BK14" s="25">
        <f t="shared" ca="1" si="29"/>
        <v>-5.1767857963318488E-2</v>
      </c>
    </row>
    <row r="15" spans="1:66" x14ac:dyDescent="0.25">
      <c r="A15" s="24">
        <f t="shared" ca="1" si="30"/>
        <v>44470</v>
      </c>
      <c r="B15" s="15" vm="340">
        <f ca="1">'Price Data'!B13</f>
        <v>371.32960000000003</v>
      </c>
      <c r="C15" s="25">
        <f t="shared" ca="1" si="31"/>
        <v>0.36223036139647985</v>
      </c>
      <c r="D15" s="15" vm="341">
        <f ca="1">'Price Data'!C13</f>
        <v>84.43</v>
      </c>
      <c r="E15" s="25">
        <f t="shared" ca="1" si="0"/>
        <v>-5.2151625430435541E-2</v>
      </c>
      <c r="F15" s="15" vm="342">
        <f ca="1">'Price Data'!D13</f>
        <v>25.567</v>
      </c>
      <c r="G15" s="25">
        <f t="shared" ca="1" si="1"/>
        <v>0.21039610886811227</v>
      </c>
      <c r="H15" s="15" vm="343">
        <f ca="1">'Price Data'!E13</f>
        <v>46.14</v>
      </c>
      <c r="I15" s="25">
        <f t="shared" ca="1" si="2"/>
        <v>-3.0522057698582555E-2</v>
      </c>
      <c r="J15" s="15" vm="344">
        <f ca="1">'Price Data'!F13</f>
        <v>323.57</v>
      </c>
      <c r="K15" s="25">
        <f t="shared" ca="1" si="3"/>
        <v>-4.7734414765447715E-2</v>
      </c>
      <c r="L15" s="15" vm="345">
        <f ca="1">'Price Data'!G13</f>
        <v>16.809799999999999</v>
      </c>
      <c r="M15" s="25">
        <f t="shared" ca="1" si="4"/>
        <v>0.18748662955964676</v>
      </c>
      <c r="N15" s="15" vm="346">
        <f ca="1">'Price Data'!H13</f>
        <v>36.49</v>
      </c>
      <c r="O15" s="25">
        <f t="shared" ca="1" si="5"/>
        <v>-3.2831766837885185E-3</v>
      </c>
      <c r="P15" s="15" vm="347">
        <f ca="1">'Price Data'!I13</f>
        <v>124.08</v>
      </c>
      <c r="Q15" s="25">
        <f t="shared" ca="1" si="6"/>
        <v>-2.3181824332658581E-2</v>
      </c>
      <c r="R15" s="15" vm="348">
        <f ca="1">'Price Data'!J13</f>
        <v>207.03</v>
      </c>
      <c r="S15" s="25">
        <f t="shared" ca="1" si="7"/>
        <v>-6.0491071582168286E-2</v>
      </c>
      <c r="T15" s="15" vm="349">
        <f ca="1">'Price Data'!K13</f>
        <v>35.580599999999997</v>
      </c>
      <c r="U15" s="25">
        <f t="shared" ca="1" si="8"/>
        <v>-2.1404662543619397E-2</v>
      </c>
      <c r="V15" s="15" vm="350">
        <f ca="1">'Price Data'!L13</f>
        <v>204.01</v>
      </c>
      <c r="W15" s="25">
        <f t="shared" ca="1" si="9"/>
        <v>6.0829902431159245E-2</v>
      </c>
      <c r="X15" s="15" vm="351">
        <f ca="1">'Price Data'!M13</f>
        <v>254.76</v>
      </c>
      <c r="Y15" s="25">
        <f t="shared" ca="1" si="10"/>
        <v>9.7687788186889488E-2</v>
      </c>
      <c r="Z15" s="15" vm="352">
        <f ca="1">'Price Data'!N13</f>
        <v>148.04599999999999</v>
      </c>
      <c r="AA15" s="25">
        <f t="shared" ca="1" si="11"/>
        <v>0.10210407464606581</v>
      </c>
      <c r="AB15" s="15" vm="353">
        <f ca="1">'Price Data'!O13</f>
        <v>149.39080000000001</v>
      </c>
      <c r="AC15" s="25">
        <f t="shared" ca="1" si="12"/>
        <v>1.8413252956474412E-2</v>
      </c>
      <c r="AD15" s="15" vm="354">
        <f ca="1">'Price Data'!P13</f>
        <v>64.47</v>
      </c>
      <c r="AE15" s="25">
        <f t="shared" ca="1" si="13"/>
        <v>9.1718066196679854E-2</v>
      </c>
      <c r="AF15" s="15" vm="355">
        <f ca="1">'Price Data'!Q13</f>
        <v>143.6</v>
      </c>
      <c r="AG15" s="25">
        <f t="shared" ca="1" si="14"/>
        <v>-7.9356807187949907E-2</v>
      </c>
      <c r="AH15" s="15" vm="356">
        <f ca="1">'Price Data'!R13</f>
        <v>125.1</v>
      </c>
      <c r="AI15" s="25">
        <f t="shared" ca="1" si="15"/>
        <v>-0.10485679168790493</v>
      </c>
      <c r="AJ15" s="15" vm="357">
        <f ca="1">'Price Data'!S13</f>
        <v>149.80000000000001</v>
      </c>
      <c r="AK15" s="25">
        <f t="shared" ca="1" si="16"/>
        <v>5.7001353999826844E-2</v>
      </c>
      <c r="AL15" s="15" vm="358">
        <f ca="1">'Price Data'!T13</f>
        <v>371.74</v>
      </c>
      <c r="AM15" s="25">
        <f t="shared" ca="1" si="17"/>
        <v>0.12438870787641736</v>
      </c>
      <c r="AN15" s="15" vm="359">
        <f ca="1">'Price Data'!U13</f>
        <v>169.89</v>
      </c>
      <c r="AO15" s="25">
        <f t="shared" ca="1" si="18"/>
        <v>3.7176773637560064E-2</v>
      </c>
      <c r="AP15" s="15" vm="360">
        <f ca="1">'Price Data'!V13</f>
        <v>110.05</v>
      </c>
      <c r="AQ15" s="25">
        <f t="shared" ca="1" si="19"/>
        <v>4.5071507668861206E-2</v>
      </c>
      <c r="AR15" s="15" vm="361">
        <f ca="1">'Price Data'!W13</f>
        <v>19.075800000000001</v>
      </c>
      <c r="AS15" s="25">
        <f t="shared" ca="1" si="20"/>
        <v>-6.6986925744472126E-2</v>
      </c>
      <c r="AT15" s="15" vm="362">
        <f ca="1">'Price Data'!X13</f>
        <v>40.020000000000003</v>
      </c>
      <c r="AU15" s="25">
        <f t="shared" ca="1" si="21"/>
        <v>-1.0192754497092059E-2</v>
      </c>
      <c r="AV15" s="15" vm="363">
        <f ca="1">'Price Data'!Y13</f>
        <v>43.74</v>
      </c>
      <c r="AW15" s="25">
        <f t="shared" ca="1" si="22"/>
        <v>1.6830368452976852E-2</v>
      </c>
      <c r="AX15" s="15" vm="364">
        <f ca="1">'Price Data'!Z13</f>
        <v>335.52</v>
      </c>
      <c r="AY15" s="25">
        <f t="shared" ca="1" si="23"/>
        <v>-3.5600949354509782E-2</v>
      </c>
      <c r="AZ15" s="15" vm="365">
        <f ca="1">'Price Data'!AA13</f>
        <v>331.62</v>
      </c>
      <c r="BA15" s="25">
        <f t="shared" ca="1" si="24"/>
        <v>0.16236639232541189</v>
      </c>
      <c r="BB15" s="15" vm="366">
        <f ca="1">'Price Data'!AB13</f>
        <v>124.94</v>
      </c>
      <c r="BC15" s="25">
        <f t="shared" ca="1" si="25"/>
        <v>2.1274816566152165E-2</v>
      </c>
      <c r="BD15" s="15" vm="367">
        <f ca="1">'Price Data'!AC13</f>
        <v>49.806199999999997</v>
      </c>
      <c r="BE15" s="25">
        <f t="shared" ca="1" si="26"/>
        <v>6.9558508934750046E-2</v>
      </c>
      <c r="BF15" s="15" vm="368">
        <f ca="1">'Price Data'!AD13</f>
        <v>56.37</v>
      </c>
      <c r="BG15" s="25">
        <f t="shared" ca="1" si="27"/>
        <v>7.1695524394863208E-2</v>
      </c>
      <c r="BH15" s="15" vm="369">
        <f ca="1">'Price Data'!AE13</f>
        <v>245.55</v>
      </c>
      <c r="BI15" s="25">
        <f t="shared" ca="1" si="28"/>
        <v>1.8247331592516805E-2</v>
      </c>
      <c r="BJ15" s="15" vm="370">
        <f ca="1">'Price Data'!AF13</f>
        <v>460.99</v>
      </c>
      <c r="BK15" s="25">
        <f t="shared" ca="1" si="29"/>
        <v>6.7685981327451156E-2</v>
      </c>
    </row>
    <row r="16" spans="1:66" x14ac:dyDescent="0.25">
      <c r="A16" s="24">
        <f t="shared" ca="1" si="30"/>
        <v>44501</v>
      </c>
      <c r="B16" s="15" vm="371">
        <f ca="1">'Price Data'!B14</f>
        <v>381.5829</v>
      </c>
      <c r="C16" s="25">
        <f t="shared" ca="1" si="31"/>
        <v>2.7238049340704187E-2</v>
      </c>
      <c r="D16" s="15" vm="372">
        <f ca="1">'Price Data'!C14</f>
        <v>69.819999999999993</v>
      </c>
      <c r="E16" s="25">
        <f t="shared" ca="1" si="0"/>
        <v>-0.19000228700451877</v>
      </c>
      <c r="F16" s="15" vm="373">
        <f ca="1">'Price Data'!D14</f>
        <v>32.676000000000002</v>
      </c>
      <c r="G16" s="25">
        <f t="shared" ca="1" si="1"/>
        <v>0.2453384060498657</v>
      </c>
      <c r="H16" s="15" vm="374">
        <f ca="1">'Price Data'!E14</f>
        <v>42.26</v>
      </c>
      <c r="I16" s="25">
        <f t="shared" ca="1" si="2"/>
        <v>-8.7839240557697068E-2</v>
      </c>
      <c r="J16" s="15" vm="375">
        <f ca="1">'Price Data'!F14</f>
        <v>324.45999999999998</v>
      </c>
      <c r="K16" s="25">
        <f t="shared" ca="1" si="3"/>
        <v>2.7467881412154725E-3</v>
      </c>
      <c r="L16" s="15" vm="376">
        <f ca="1">'Price Data'!G14</f>
        <v>18.886399999999998</v>
      </c>
      <c r="M16" s="25">
        <f t="shared" ca="1" si="4"/>
        <v>0.11648003665663455</v>
      </c>
      <c r="N16" s="15" vm="377">
        <f ca="1">'Price Data'!H14</f>
        <v>36.630000000000003</v>
      </c>
      <c r="O16" s="25">
        <f t="shared" ca="1" si="5"/>
        <v>3.8293263423666629E-3</v>
      </c>
      <c r="P16" s="15" vm="378">
        <f ca="1">'Price Data'!I14</f>
        <v>121.92</v>
      </c>
      <c r="Q16" s="25">
        <f t="shared" ca="1" si="6"/>
        <v>-1.7561426929947183E-2</v>
      </c>
      <c r="R16" s="15" vm="379">
        <f ca="1">'Price Data'!J14</f>
        <v>197.85</v>
      </c>
      <c r="S16" s="25">
        <f t="shared" ca="1" si="7"/>
        <v>-4.535454246918693E-2</v>
      </c>
      <c r="T16" s="15" vm="380">
        <f ca="1">'Price Data'!K14</f>
        <v>32.868200000000002</v>
      </c>
      <c r="U16" s="25">
        <f t="shared" ca="1" si="8"/>
        <v>-7.9294920505639174E-2</v>
      </c>
      <c r="V16" s="15" vm="381">
        <f ca="1">'Price Data'!L14</f>
        <v>193.35</v>
      </c>
      <c r="W16" s="25">
        <f t="shared" ca="1" si="9"/>
        <v>-5.3666994197331716E-2</v>
      </c>
      <c r="X16" s="15" vm="382">
        <f ca="1">'Price Data'!M14</f>
        <v>248.04</v>
      </c>
      <c r="Y16" s="25">
        <f t="shared" ca="1" si="10"/>
        <v>-2.6731902021487786E-2</v>
      </c>
      <c r="Z16" s="15" vm="383">
        <f ca="1">'Price Data'!N14</f>
        <v>141.89750000000001</v>
      </c>
      <c r="AA16" s="25">
        <f t="shared" ca="1" si="11"/>
        <v>-4.2418070313328185E-2</v>
      </c>
      <c r="AB16" s="15" vm="384">
        <f ca="1">'Price Data'!O14</f>
        <v>142.167</v>
      </c>
      <c r="AC16" s="25">
        <f t="shared" ca="1" si="12"/>
        <v>-4.9563268223910786E-2</v>
      </c>
      <c r="AD16" s="15" vm="385">
        <f ca="1">'Price Data'!P14</f>
        <v>59.84</v>
      </c>
      <c r="AE16" s="25">
        <f t="shared" ca="1" si="13"/>
        <v>-7.4525665656306861E-2</v>
      </c>
      <c r="AF16" s="15" vm="386">
        <f ca="1">'Price Data'!Q14</f>
        <v>133.54</v>
      </c>
      <c r="AG16" s="25">
        <f t="shared" ca="1" si="14"/>
        <v>-7.2630598184401041E-2</v>
      </c>
      <c r="AH16" s="15" vm="387">
        <f ca="1">'Price Data'!R14</f>
        <v>117.1</v>
      </c>
      <c r="AI16" s="25">
        <f t="shared" ca="1" si="15"/>
        <v>-6.608514686919377E-2</v>
      </c>
      <c r="AJ16" s="15" vm="388">
        <f ca="1">'Price Data'!S14</f>
        <v>165.3</v>
      </c>
      <c r="AK16" s="25">
        <f t="shared" ca="1" si="16"/>
        <v>9.8460933743859308E-2</v>
      </c>
      <c r="AL16" s="15" vm="389">
        <f ca="1">'Price Data'!T14</f>
        <v>400.61</v>
      </c>
      <c r="AM16" s="25">
        <f t="shared" ca="1" si="17"/>
        <v>7.4793700296117399E-2</v>
      </c>
      <c r="AN16" s="15" vm="390">
        <f ca="1">'Price Data'!U14</f>
        <v>158.83000000000001</v>
      </c>
      <c r="AO16" s="25">
        <f t="shared" ca="1" si="18"/>
        <v>-6.7316720946759473E-2</v>
      </c>
      <c r="AP16" s="15" vm="391">
        <f ca="1">'Price Data'!V14</f>
        <v>102.26</v>
      </c>
      <c r="AQ16" s="25">
        <f t="shared" ca="1" si="19"/>
        <v>-7.3416218320617427E-2</v>
      </c>
      <c r="AR16" s="15" vm="392">
        <f ca="1">'Price Data'!W14</f>
        <v>17.2408</v>
      </c>
      <c r="AS16" s="25">
        <f t="shared" ca="1" si="20"/>
        <v>-0.10114184813151501</v>
      </c>
      <c r="AT16" s="15" vm="393">
        <f ca="1">'Price Data'!X14</f>
        <v>41.53</v>
      </c>
      <c r="AU16" s="25">
        <f t="shared" ca="1" si="21"/>
        <v>3.7036728487074747E-2</v>
      </c>
      <c r="AV16" s="15" vm="394">
        <f ca="1">'Price Data'!Y14</f>
        <v>53.73</v>
      </c>
      <c r="AW16" s="25">
        <f t="shared" ca="1" si="22"/>
        <v>0.20570848949210824</v>
      </c>
      <c r="AX16" s="15" vm="395">
        <f ca="1">'Price Data'!Z14</f>
        <v>314.92</v>
      </c>
      <c r="AY16" s="25">
        <f t="shared" ca="1" si="23"/>
        <v>-6.3362928837343319E-2</v>
      </c>
      <c r="AZ16" s="15" vm="396">
        <f ca="1">'Price Data'!AA14</f>
        <v>330.59</v>
      </c>
      <c r="BA16" s="25">
        <f t="shared" ca="1" si="24"/>
        <v>-3.110798177661701E-3</v>
      </c>
      <c r="BB16" s="15" vm="397">
        <f ca="1">'Price Data'!AB14</f>
        <v>122.84</v>
      </c>
      <c r="BC16" s="25">
        <f t="shared" ca="1" si="25"/>
        <v>-1.6950926492802217E-2</v>
      </c>
      <c r="BD16" s="15" vm="398">
        <f ca="1">'Price Data'!AC14</f>
        <v>46.876199999999997</v>
      </c>
      <c r="BE16" s="25">
        <f t="shared" ca="1" si="26"/>
        <v>-6.0629390310442781E-2</v>
      </c>
      <c r="BF16" s="15" vm="399">
        <f ca="1">'Price Data'!AD14</f>
        <v>52.45</v>
      </c>
      <c r="BG16" s="25">
        <f t="shared" ca="1" si="27"/>
        <v>-7.207676725117737E-2</v>
      </c>
      <c r="BH16" s="15" vm="400">
        <f ca="1">'Price Data'!AE14</f>
        <v>244.6</v>
      </c>
      <c r="BI16" s="25">
        <f t="shared" ca="1" si="28"/>
        <v>-3.8763692321816677E-3</v>
      </c>
      <c r="BJ16" s="15" vm="401">
        <f ca="1">'Price Data'!AF14</f>
        <v>457.63</v>
      </c>
      <c r="BK16" s="25">
        <f t="shared" ca="1" si="29"/>
        <v>-7.3153534301832112E-3</v>
      </c>
    </row>
    <row r="17" spans="1:63" x14ac:dyDescent="0.25">
      <c r="A17" s="24">
        <f t="shared" ca="1" si="30"/>
        <v>44531</v>
      </c>
      <c r="B17" s="15" vm="402">
        <f ca="1">'Price Data'!B15</f>
        <v>352.25650000000002</v>
      </c>
      <c r="C17" s="25">
        <f t="shared" ca="1" si="31"/>
        <v>-7.9968523837374017E-2</v>
      </c>
      <c r="D17" s="15" vm="403">
        <f ca="1">'Price Data'!C15</f>
        <v>76.900000000000006</v>
      </c>
      <c r="E17" s="25">
        <f t="shared" ca="1" si="0"/>
        <v>9.6585374834708443E-2</v>
      </c>
      <c r="F17" s="15" vm="404">
        <f ca="1">'Price Data'!D15</f>
        <v>29.411000000000001</v>
      </c>
      <c r="G17" s="25">
        <f t="shared" ca="1" si="1"/>
        <v>-0.10527210945165304</v>
      </c>
      <c r="H17" s="15" vm="405">
        <f ca="1">'Price Data'!E15</f>
        <v>43.78</v>
      </c>
      <c r="I17" s="25">
        <f t="shared" ca="1" si="2"/>
        <v>3.5336079906806407E-2</v>
      </c>
      <c r="J17" s="15" vm="406">
        <f ca="1">'Price Data'!F15</f>
        <v>336.35</v>
      </c>
      <c r="K17" s="25">
        <f t="shared" ca="1" si="3"/>
        <v>3.5990022489362096E-2</v>
      </c>
      <c r="L17" s="15" vm="407">
        <f ca="1">'Price Data'!G15</f>
        <v>20.441400000000002</v>
      </c>
      <c r="M17" s="25">
        <f t="shared" ca="1" si="4"/>
        <v>7.9120169814211411E-2</v>
      </c>
      <c r="N17" s="15" vm="408">
        <f ca="1">'Price Data'!H15</f>
        <v>37.69</v>
      </c>
      <c r="O17" s="25">
        <f t="shared" ca="1" si="5"/>
        <v>2.8527230488320895E-2</v>
      </c>
      <c r="P17" s="15" vm="409">
        <f ca="1">'Price Data'!I15</f>
        <v>133.47</v>
      </c>
      <c r="Q17" s="25">
        <f t="shared" ca="1" si="6"/>
        <v>9.0511641547723967E-2</v>
      </c>
      <c r="R17" s="15" vm="410">
        <f ca="1">'Price Data'!J15</f>
        <v>201.32</v>
      </c>
      <c r="S17" s="25">
        <f t="shared" ca="1" si="7"/>
        <v>1.7386514076726027E-2</v>
      </c>
      <c r="T17" s="15" vm="411">
        <f ca="1">'Price Data'!K15</f>
        <v>34.965000000000003</v>
      </c>
      <c r="U17" s="25">
        <f t="shared" ca="1" si="8"/>
        <v>6.1841936159557909E-2</v>
      </c>
      <c r="V17" s="15" vm="412">
        <f ca="1">'Price Data'!L15</f>
        <v>206.74</v>
      </c>
      <c r="W17" s="25">
        <f t="shared" ca="1" si="9"/>
        <v>6.6959947087032762E-2</v>
      </c>
      <c r="X17" s="15" vm="413">
        <f ca="1">'Price Data'!M15</f>
        <v>276.22000000000003</v>
      </c>
      <c r="Y17" s="25">
        <f t="shared" ca="1" si="10"/>
        <v>0.10760762616810557</v>
      </c>
      <c r="Z17" s="15" vm="414">
        <f ca="1">'Price Data'!N15</f>
        <v>144.852</v>
      </c>
      <c r="AA17" s="25">
        <f t="shared" ca="1" si="11"/>
        <v>2.0607565537066719E-2</v>
      </c>
      <c r="AB17" s="15" vm="415">
        <f ca="1">'Price Data'!O15</f>
        <v>148.5129</v>
      </c>
      <c r="AC17" s="25">
        <f t="shared" ca="1" si="12"/>
        <v>4.3669400229996561E-2</v>
      </c>
      <c r="AD17" s="15" vm="416">
        <f ca="1">'Price Data'!P15</f>
        <v>61.19</v>
      </c>
      <c r="AE17" s="25">
        <f t="shared" ca="1" si="13"/>
        <v>2.2309443808227265E-2</v>
      </c>
      <c r="AF17" s="15" vm="417">
        <f ca="1">'Price Data'!Q15</f>
        <v>136.16999999999999</v>
      </c>
      <c r="AG17" s="25">
        <f t="shared" ca="1" si="14"/>
        <v>1.9503046706761201E-2</v>
      </c>
      <c r="AH17" s="15" vm="418">
        <f ca="1">'Price Data'!R15</f>
        <v>133.66</v>
      </c>
      <c r="AI17" s="25">
        <f t="shared" ca="1" si="15"/>
        <v>0.13227099147925242</v>
      </c>
      <c r="AJ17" s="15" vm="419">
        <f ca="1">'Price Data'!S15</f>
        <v>177.57</v>
      </c>
      <c r="AK17" s="25">
        <f t="shared" ca="1" si="16"/>
        <v>7.1602892543764798E-2</v>
      </c>
      <c r="AL17" s="15" vm="420">
        <f ca="1">'Price Data'!T15</f>
        <v>415.01</v>
      </c>
      <c r="AM17" s="25">
        <f t="shared" ca="1" si="17"/>
        <v>3.5314230849602953E-2</v>
      </c>
      <c r="AN17" s="15" vm="421">
        <f ca="1">'Price Data'!U15</f>
        <v>158.35</v>
      </c>
      <c r="AO17" s="25">
        <f t="shared" ca="1" si="18"/>
        <v>-3.0266748624149945E-3</v>
      </c>
      <c r="AP17" s="15" vm="422">
        <f ca="1">'Price Data'!V15</f>
        <v>108.24</v>
      </c>
      <c r="AQ17" s="25">
        <f t="shared" ca="1" si="19"/>
        <v>5.6832394210679357E-2</v>
      </c>
      <c r="AR17" s="15" vm="423">
        <f ca="1">'Price Data'!W15</f>
        <v>18.577400000000001</v>
      </c>
      <c r="AS17" s="25">
        <f t="shared" ca="1" si="20"/>
        <v>7.4667120308169743E-2</v>
      </c>
      <c r="AT17" s="15" vm="424">
        <f ca="1">'Price Data'!X15</f>
        <v>45.26</v>
      </c>
      <c r="AU17" s="25">
        <f t="shared" ca="1" si="21"/>
        <v>8.6007582562728987E-2</v>
      </c>
      <c r="AV17" s="15" vm="425">
        <f ca="1">'Price Data'!Y15</f>
        <v>59.05</v>
      </c>
      <c r="AW17" s="25">
        <f t="shared" ca="1" si="22"/>
        <v>9.4413037902641231E-2</v>
      </c>
      <c r="AX17" s="15" vm="426">
        <f ca="1">'Price Data'!Z15</f>
        <v>359.32</v>
      </c>
      <c r="AY17" s="25">
        <f t="shared" ca="1" si="23"/>
        <v>0.13189471804473926</v>
      </c>
      <c r="AZ17" s="15" vm="427">
        <f ca="1">'Price Data'!AA15</f>
        <v>336.32</v>
      </c>
      <c r="BA17" s="25">
        <f t="shared" ca="1" si="24"/>
        <v>1.7184150793021463E-2</v>
      </c>
      <c r="BB17" s="15" vm="428">
        <f ca="1">'Price Data'!AB15</f>
        <v>138.86000000000001</v>
      </c>
      <c r="BC17" s="25">
        <f t="shared" ca="1" si="25"/>
        <v>0.12258353575250583</v>
      </c>
      <c r="BD17" s="15" vm="429">
        <f ca="1">'Price Data'!AC15</f>
        <v>48.229500000000002</v>
      </c>
      <c r="BE17" s="25">
        <f t="shared" ca="1" si="26"/>
        <v>2.8460783072743398E-2</v>
      </c>
      <c r="BF17" s="15" vm="430">
        <f ca="1">'Price Data'!AD15</f>
        <v>59.21</v>
      </c>
      <c r="BG17" s="25">
        <f t="shared" ca="1" si="27"/>
        <v>0.12123011170137855</v>
      </c>
      <c r="BH17" s="15" vm="431">
        <f ca="1">'Price Data'!AE15</f>
        <v>268.07</v>
      </c>
      <c r="BI17" s="25">
        <f t="shared" ca="1" si="28"/>
        <v>9.1623917182413417E-2</v>
      </c>
      <c r="BJ17" s="15" vm="432">
        <f ca="1">'Price Data'!AF15</f>
        <v>476.99</v>
      </c>
      <c r="BK17" s="25">
        <f t="shared" ca="1" si="29"/>
        <v>4.1434528950777552E-2</v>
      </c>
    </row>
    <row r="18" spans="1:63" x14ac:dyDescent="0.25">
      <c r="A18" s="24">
        <f t="shared" ca="1" si="30"/>
        <v>44562</v>
      </c>
      <c r="B18" s="15" vm="433">
        <f ca="1">'Price Data'!B16</f>
        <v>312.23689999999999</v>
      </c>
      <c r="C18" s="25">
        <f t="shared" ca="1" si="31"/>
        <v>-0.12059740884918396</v>
      </c>
      <c r="D18" s="15" vm="434">
        <f ca="1">'Price Data'!C16</f>
        <v>77.81</v>
      </c>
      <c r="E18" s="25">
        <f t="shared" ca="1" si="0"/>
        <v>1.1764081117240484E-2</v>
      </c>
      <c r="F18" s="15" vm="435">
        <f ca="1">'Price Data'!D16</f>
        <v>24.486000000000001</v>
      </c>
      <c r="G18" s="25">
        <f t="shared" ca="1" si="1"/>
        <v>-0.18326722837624621</v>
      </c>
      <c r="H18" s="15" vm="436">
        <f ca="1">'Price Data'!E16</f>
        <v>42.88</v>
      </c>
      <c r="I18" s="25">
        <f t="shared" ca="1" si="2"/>
        <v>-2.0771575332170278E-2</v>
      </c>
      <c r="J18" s="15" vm="437">
        <f ca="1">'Price Data'!F16</f>
        <v>313.26</v>
      </c>
      <c r="K18" s="25">
        <f t="shared" ca="1" si="3"/>
        <v>-7.1118767821098841E-2</v>
      </c>
      <c r="L18" s="15" vm="438">
        <f ca="1">'Price Data'!G16</f>
        <v>19.978899999999999</v>
      </c>
      <c r="M18" s="25">
        <f t="shared" ca="1" si="4"/>
        <v>-2.2885539490872731E-2</v>
      </c>
      <c r="N18" s="15" vm="439">
        <f ca="1">'Price Data'!H16</f>
        <v>34.57</v>
      </c>
      <c r="O18" s="25">
        <f t="shared" ca="1" si="5"/>
        <v>-8.6408553345510855E-2</v>
      </c>
      <c r="P18" s="15" vm="440">
        <f ca="1">'Price Data'!I16</f>
        <v>123.45</v>
      </c>
      <c r="Q18" s="25">
        <f t="shared" ca="1" si="6"/>
        <v>-7.8040517694871622E-2</v>
      </c>
      <c r="R18" s="15" vm="441">
        <f ca="1">'Price Data'!J16</f>
        <v>200.24</v>
      </c>
      <c r="S18" s="25">
        <f t="shared" ca="1" si="7"/>
        <v>-5.379034784640419E-3</v>
      </c>
      <c r="T18" s="15" vm="442">
        <f ca="1">'Price Data'!K16</f>
        <v>29.711600000000001</v>
      </c>
      <c r="U18" s="25">
        <f t="shared" ca="1" si="8"/>
        <v>-0.16281001921014565</v>
      </c>
      <c r="V18" s="15" vm="443">
        <f ca="1">'Price Data'!L16</f>
        <v>201.56</v>
      </c>
      <c r="W18" s="25">
        <f t="shared" ca="1" si="9"/>
        <v>-2.537486132794136E-2</v>
      </c>
      <c r="X18" s="15" vm="444">
        <f ca="1">'Price Data'!M16</f>
        <v>245.39</v>
      </c>
      <c r="Y18" s="25">
        <f t="shared" ca="1" si="10"/>
        <v>-0.11834886799951823</v>
      </c>
      <c r="Z18" s="15" vm="445">
        <f ca="1">'Price Data'!N16</f>
        <v>135.30350000000001</v>
      </c>
      <c r="AA18" s="25">
        <f t="shared" ca="1" si="11"/>
        <v>-6.8192128224327658E-2</v>
      </c>
      <c r="AB18" s="15" vm="446">
        <f ca="1">'Price Data'!O16</f>
        <v>138.80600000000001</v>
      </c>
      <c r="AC18" s="25">
        <f t="shared" ca="1" si="12"/>
        <v>-6.7594548352635467E-2</v>
      </c>
      <c r="AD18" s="15" vm="447">
        <f ca="1">'Price Data'!P16</f>
        <v>75.959999999999994</v>
      </c>
      <c r="AE18" s="25">
        <f t="shared" ca="1" si="13"/>
        <v>0.21622310846963599</v>
      </c>
      <c r="AF18" s="15" vm="448">
        <f ca="1">'Price Data'!Q16</f>
        <v>124.42</v>
      </c>
      <c r="AG18" s="25">
        <f t="shared" ca="1" si="14"/>
        <v>-9.0241166049610064E-2</v>
      </c>
      <c r="AH18" s="15" vm="449">
        <f ca="1">'Price Data'!R16</f>
        <v>133.57</v>
      </c>
      <c r="AI18" s="25">
        <f t="shared" ca="1" si="15"/>
        <v>-6.7357709391012508E-4</v>
      </c>
      <c r="AJ18" s="15" vm="450">
        <f ca="1">'Price Data'!S16</f>
        <v>174.78</v>
      </c>
      <c r="AK18" s="25">
        <f t="shared" ca="1" si="16"/>
        <v>-1.5836857171345101E-2</v>
      </c>
      <c r="AL18" s="15" vm="451">
        <f ca="1">'Price Data'!T16</f>
        <v>366.98</v>
      </c>
      <c r="AM18" s="25">
        <f t="shared" ca="1" si="17"/>
        <v>-0.12299526566911968</v>
      </c>
      <c r="AN18" s="15" vm="452">
        <f ca="1">'Price Data'!U16</f>
        <v>148.6</v>
      </c>
      <c r="AO18" s="25">
        <f t="shared" ca="1" si="18"/>
        <v>-6.3549640700989993E-2</v>
      </c>
      <c r="AP18" s="15" vm="453">
        <f ca="1">'Price Data'!V16</f>
        <v>111.57</v>
      </c>
      <c r="AQ18" s="25">
        <f t="shared" ca="1" si="19"/>
        <v>3.0301212742555764E-2</v>
      </c>
      <c r="AR18" s="15" vm="454">
        <f ca="1">'Price Data'!W16</f>
        <v>19.257100000000001</v>
      </c>
      <c r="AS18" s="25">
        <f t="shared" ca="1" si="20"/>
        <v>3.5934035721734356E-2</v>
      </c>
      <c r="AT18" s="15" vm="455">
        <f ca="1">'Price Data'!X16</f>
        <v>43.59</v>
      </c>
      <c r="AU18" s="25">
        <f t="shared" ca="1" si="21"/>
        <v>-3.7595873955089926E-2</v>
      </c>
      <c r="AV18" s="15" vm="456">
        <f ca="1">'Price Data'!Y16</f>
        <v>52.69</v>
      </c>
      <c r="AW18" s="25">
        <f t="shared" ca="1" si="22"/>
        <v>-0.11395885842217696</v>
      </c>
      <c r="AX18" s="15" vm="457">
        <f ca="1">'Price Data'!Z16</f>
        <v>386.38</v>
      </c>
      <c r="AY18" s="25">
        <f t="shared" ca="1" si="23"/>
        <v>7.2607984803402054E-2</v>
      </c>
      <c r="AZ18" s="15" vm="458">
        <f ca="1">'Price Data'!AA16</f>
        <v>310.98</v>
      </c>
      <c r="BA18" s="25">
        <f t="shared" ca="1" si="24"/>
        <v>-7.8334486258916036E-2</v>
      </c>
      <c r="BB18" s="15" vm="459">
        <f ca="1">'Price Data'!AB16</f>
        <v>125.17</v>
      </c>
      <c r="BC18" s="25">
        <f t="shared" ca="1" si="25"/>
        <v>-0.10379341798519531</v>
      </c>
      <c r="BD18" s="15" vm="460">
        <f ca="1">'Price Data'!AC16</f>
        <v>46.602899999999998</v>
      </c>
      <c r="BE18" s="25">
        <f t="shared" ca="1" si="26"/>
        <v>-3.4308096080702663E-2</v>
      </c>
      <c r="BF18" s="15" vm="461">
        <f ca="1">'Price Data'!AD16</f>
        <v>61.01</v>
      </c>
      <c r="BG18" s="25">
        <f t="shared" ca="1" si="27"/>
        <v>2.9947338620076321E-2</v>
      </c>
      <c r="BH18" s="15" vm="462">
        <f ca="1">'Price Data'!AE16</f>
        <v>259.45</v>
      </c>
      <c r="BI18" s="25">
        <f t="shared" ca="1" si="28"/>
        <v>-3.2684134621736756E-2</v>
      </c>
      <c r="BJ18" s="15" vm="463">
        <f ca="1">'Price Data'!AF16</f>
        <v>451.77</v>
      </c>
      <c r="BK18" s="25">
        <f t="shared" ca="1" si="29"/>
        <v>-5.4322325541161204E-2</v>
      </c>
    </row>
    <row r="19" spans="1:63" x14ac:dyDescent="0.25">
      <c r="A19" s="24">
        <f t="shared" ca="1" si="30"/>
        <v>44593</v>
      </c>
      <c r="B19" s="15" vm="464">
        <f ca="1">'Price Data'!B17</f>
        <v>290.1404</v>
      </c>
      <c r="C19" s="25">
        <f t="shared" ca="1" si="31"/>
        <v>-7.3397250808163408E-2</v>
      </c>
      <c r="D19" s="15" vm="465">
        <f ca="1">'Price Data'!C17</f>
        <v>80.72</v>
      </c>
      <c r="E19" s="25">
        <f t="shared" ca="1" si="0"/>
        <v>3.6716418416514719E-2</v>
      </c>
      <c r="F19" s="15" vm="466">
        <f ca="1">'Price Data'!D17</f>
        <v>24.385000000000002</v>
      </c>
      <c r="G19" s="25">
        <f t="shared" ca="1" si="1"/>
        <v>-4.1333364897077262E-3</v>
      </c>
      <c r="H19" s="15" vm="467">
        <f ca="1">'Price Data'!E17</f>
        <v>44.4</v>
      </c>
      <c r="I19" s="25">
        <f t="shared" ca="1" si="2"/>
        <v>3.4833952675632489E-2</v>
      </c>
      <c r="J19" s="15" vm="468">
        <f ca="1">'Price Data'!F17</f>
        <v>211.03</v>
      </c>
      <c r="K19" s="25">
        <f t="shared" ca="1" si="3"/>
        <v>-0.39503321318629447</v>
      </c>
      <c r="L19" s="15" vm="469">
        <f ca="1">'Price Data'!G17</f>
        <v>17.2822</v>
      </c>
      <c r="M19" s="25">
        <f t="shared" ca="1" si="4"/>
        <v>-0.14499964656288603</v>
      </c>
      <c r="N19" s="15" vm="470">
        <f ca="1">'Price Data'!H17</f>
        <v>41.3</v>
      </c>
      <c r="O19" s="25">
        <f t="shared" ca="1" si="5"/>
        <v>0.17787624603345376</v>
      </c>
      <c r="P19" s="15" vm="471">
        <f ca="1">'Price Data'!I17</f>
        <v>106.82</v>
      </c>
      <c r="Q19" s="25">
        <f t="shared" ca="1" si="6"/>
        <v>-0.14469104087956439</v>
      </c>
      <c r="R19" s="15" vm="472">
        <f ca="1">'Price Data'!J17</f>
        <v>205.34</v>
      </c>
      <c r="S19" s="25">
        <f t="shared" ca="1" si="7"/>
        <v>2.5150494747299992E-2</v>
      </c>
      <c r="T19" s="15" vm="473">
        <f ca="1">'Price Data'!K17</f>
        <v>30.466999999999999</v>
      </c>
      <c r="U19" s="25">
        <f t="shared" ca="1" si="8"/>
        <v>2.5106588705495727E-2</v>
      </c>
      <c r="V19" s="15" vm="474">
        <f ca="1">'Price Data'!L17</f>
        <v>187.58</v>
      </c>
      <c r="W19" s="25">
        <f t="shared" ca="1" si="9"/>
        <v>-7.1881682731604904E-2</v>
      </c>
      <c r="X19" s="15" vm="475">
        <f ca="1">'Price Data'!M17</f>
        <v>249.95</v>
      </c>
      <c r="Y19" s="25">
        <f t="shared" ca="1" si="10"/>
        <v>1.8412116209314818E-2</v>
      </c>
      <c r="Z19" s="15" vm="476">
        <f ca="1">'Price Data'!N17</f>
        <v>135.05699999999999</v>
      </c>
      <c r="AA19" s="25">
        <f t="shared" ca="1" si="11"/>
        <v>-1.8234917327314729E-3</v>
      </c>
      <c r="AB19" s="15" vm="477">
        <f ca="1">'Price Data'!O17</f>
        <v>124.2833</v>
      </c>
      <c r="AC19" s="25">
        <f t="shared" ca="1" si="12"/>
        <v>-0.11051363768683527</v>
      </c>
      <c r="AD19" s="15" vm="478">
        <f ca="1">'Price Data'!P17</f>
        <v>78.42</v>
      </c>
      <c r="AE19" s="25">
        <f t="shared" ca="1" si="13"/>
        <v>3.1872110920100651E-2</v>
      </c>
      <c r="AF19" s="15" vm="479">
        <f ca="1">'Price Data'!Q17</f>
        <v>110.44</v>
      </c>
      <c r="AG19" s="25">
        <f t="shared" ca="1" si="14"/>
        <v>-0.11919055202492002</v>
      </c>
      <c r="AH19" s="15" vm="480">
        <f ca="1">'Price Data'!R17</f>
        <v>122.51</v>
      </c>
      <c r="AI19" s="25">
        <f t="shared" ca="1" si="15"/>
        <v>-8.6433025682934733E-2</v>
      </c>
      <c r="AJ19" s="15" vm="481">
        <f ca="1">'Price Data'!S17</f>
        <v>165.12</v>
      </c>
      <c r="AK19" s="25">
        <f t="shared" ca="1" si="16"/>
        <v>-5.6855557906200289E-2</v>
      </c>
      <c r="AL19" s="15" vm="482">
        <f ca="1">'Price Data'!T17</f>
        <v>315.83</v>
      </c>
      <c r="AM19" s="25">
        <f t="shared" ca="1" si="17"/>
        <v>-0.15010325651374051</v>
      </c>
      <c r="AN19" s="15" vm="483">
        <f ca="1">'Price Data'!U17</f>
        <v>141.80000000000001</v>
      </c>
      <c r="AO19" s="25">
        <f t="shared" ca="1" si="18"/>
        <v>-4.6840518185631536E-2</v>
      </c>
      <c r="AP19" s="15" vm="484">
        <f ca="1">'Price Data'!V17</f>
        <v>111.66</v>
      </c>
      <c r="AQ19" s="25">
        <f t="shared" ca="1" si="19"/>
        <v>8.0634327712614002E-4</v>
      </c>
      <c r="AR19" s="15" vm="485">
        <f ca="1">'Price Data'!W17</f>
        <v>17.8902</v>
      </c>
      <c r="AS19" s="25">
        <f t="shared" ca="1" si="20"/>
        <v>-7.3626747013141647E-2</v>
      </c>
      <c r="AT19" s="15" vm="486">
        <f ca="1">'Price Data'!X17</f>
        <v>46.8</v>
      </c>
      <c r="AU19" s="25">
        <f t="shared" ca="1" si="21"/>
        <v>7.1055436673299721E-2</v>
      </c>
      <c r="AV19" s="15" vm="487">
        <f ca="1">'Price Data'!Y17</f>
        <v>46.94</v>
      </c>
      <c r="AW19" s="25">
        <f t="shared" ca="1" si="22"/>
        <v>-0.11555549379831696</v>
      </c>
      <c r="AX19" s="15" vm="488">
        <f ca="1">'Price Data'!Z17</f>
        <v>360.82</v>
      </c>
      <c r="AY19" s="25">
        <f t="shared" ca="1" si="23"/>
        <v>-6.8442122139751052E-2</v>
      </c>
      <c r="AZ19" s="15" vm="489">
        <f ca="1">'Price Data'!AA17</f>
        <v>298.79000000000002</v>
      </c>
      <c r="BA19" s="25">
        <f t="shared" ca="1" si="24"/>
        <v>-3.9987615933189155E-2</v>
      </c>
      <c r="BB19" s="15" vm="490">
        <f ca="1">'Price Data'!AB17</f>
        <v>122.58</v>
      </c>
      <c r="BC19" s="25">
        <f t="shared" ca="1" si="25"/>
        <v>-2.0908935282346504E-2</v>
      </c>
      <c r="BD19" s="15" vm="491">
        <f ca="1">'Price Data'!AC17</f>
        <v>45.052900000000001</v>
      </c>
      <c r="BE19" s="25">
        <f t="shared" ca="1" si="26"/>
        <v>-3.3825416053462759E-2</v>
      </c>
      <c r="BF19" s="15" vm="492">
        <f ca="1">'Price Data'!AD17</f>
        <v>62.24</v>
      </c>
      <c r="BG19" s="25">
        <f t="shared" ca="1" si="27"/>
        <v>1.9960094706375133E-2</v>
      </c>
      <c r="BH19" s="15" vm="493">
        <f ca="1">'Price Data'!AE17</f>
        <v>244.77</v>
      </c>
      <c r="BI19" s="25">
        <f t="shared" ca="1" si="28"/>
        <v>-5.8245011704930079E-2</v>
      </c>
      <c r="BJ19" s="15" vm="494">
        <f ca="1">'Price Data'!AF17</f>
        <v>438.72</v>
      </c>
      <c r="BK19" s="25">
        <f t="shared" ca="1" si="29"/>
        <v>-2.9311804392888084E-2</v>
      </c>
    </row>
    <row r="20" spans="1:63" x14ac:dyDescent="0.25">
      <c r="A20" s="24">
        <f t="shared" ca="1" si="30"/>
        <v>44621</v>
      </c>
      <c r="B20" s="15" vm="495">
        <f ca="1">'Price Data'!B18</f>
        <v>359.19639999999998</v>
      </c>
      <c r="C20" s="25">
        <f t="shared" ca="1" si="31"/>
        <v>0.21350437035150838</v>
      </c>
      <c r="D20" s="15" vm="496">
        <f ca="1">'Price Data'!C18</f>
        <v>83.78</v>
      </c>
      <c r="E20" s="25">
        <f t="shared" ca="1" si="0"/>
        <v>3.720793947353529E-2</v>
      </c>
      <c r="F20" s="15" vm="497">
        <f ca="1">'Price Data'!D18</f>
        <v>27.286000000000001</v>
      </c>
      <c r="G20" s="25">
        <f t="shared" ca="1" si="1"/>
        <v>0.11240556097866652</v>
      </c>
      <c r="H20" s="15" vm="498">
        <f ca="1">'Price Data'!E18</f>
        <v>46.36</v>
      </c>
      <c r="I20" s="25">
        <f t="shared" ca="1" si="2"/>
        <v>4.3197549033371883E-2</v>
      </c>
      <c r="J20" s="15" vm="499">
        <f ca="1">'Price Data'!F18</f>
        <v>222.36</v>
      </c>
      <c r="K20" s="25">
        <f t="shared" ca="1" si="3"/>
        <v>5.2297386621047291E-2</v>
      </c>
      <c r="L20" s="15" vm="500">
        <f ca="1">'Price Data'!G18</f>
        <v>16.642499999999998</v>
      </c>
      <c r="M20" s="25">
        <f t="shared" ca="1" si="4"/>
        <v>-3.7717405594159599E-2</v>
      </c>
      <c r="N20" s="15" vm="501">
        <f ca="1">'Price Data'!H18</f>
        <v>39.4</v>
      </c>
      <c r="O20" s="25">
        <f t="shared" ca="1" si="5"/>
        <v>-4.7096683663098861E-2</v>
      </c>
      <c r="P20" s="15" vm="502">
        <f ca="1">'Price Data'!I18</f>
        <v>105.28</v>
      </c>
      <c r="Q20" s="25">
        <f t="shared" ca="1" si="6"/>
        <v>-1.452170733461711E-2</v>
      </c>
      <c r="R20" s="15" vm="503">
        <f ca="1">'Price Data'!J18</f>
        <v>191.5</v>
      </c>
      <c r="S20" s="25">
        <f t="shared" ca="1" si="7"/>
        <v>-6.9779333250118009E-2</v>
      </c>
      <c r="T20" s="15" vm="504">
        <f ca="1">'Price Data'!K18</f>
        <v>31.640599999999999</v>
      </c>
      <c r="U20" s="25">
        <f t="shared" ca="1" si="8"/>
        <v>3.7796975406018424E-2</v>
      </c>
      <c r="V20" s="15" vm="505">
        <f ca="1">'Price Data'!L18</f>
        <v>222.82</v>
      </c>
      <c r="W20" s="25">
        <f t="shared" ca="1" si="9"/>
        <v>0.17215884955037786</v>
      </c>
      <c r="X20" s="15" vm="506">
        <f ca="1">'Price Data'!M18</f>
        <v>286.37</v>
      </c>
      <c r="Y20" s="25">
        <f t="shared" ca="1" si="10"/>
        <v>0.13602378313704125</v>
      </c>
      <c r="Z20" s="15" vm="507">
        <f ca="1">'Price Data'!N18</f>
        <v>139.0675</v>
      </c>
      <c r="AA20" s="25">
        <f t="shared" ca="1" si="11"/>
        <v>2.926251522044027E-2</v>
      </c>
      <c r="AB20" s="15" vm="508">
        <f ca="1">'Price Data'!O18</f>
        <v>124.4756</v>
      </c>
      <c r="AC20" s="25">
        <f t="shared" ca="1" si="12"/>
        <v>1.5460756443718723E-3</v>
      </c>
      <c r="AD20" s="15" vm="509">
        <f ca="1">'Price Data'!P18</f>
        <v>82.59</v>
      </c>
      <c r="AE20" s="25">
        <f t="shared" ca="1" si="13"/>
        <v>5.1809610958440028E-2</v>
      </c>
      <c r="AF20" s="15" vm="510">
        <f ca="1">'Price Data'!Q18</f>
        <v>118.61</v>
      </c>
      <c r="AG20" s="25">
        <f t="shared" ca="1" si="14"/>
        <v>7.1368412979230661E-2</v>
      </c>
      <c r="AH20" s="15" vm="511">
        <f ca="1">'Price Data'!R18</f>
        <v>130.02000000000001</v>
      </c>
      <c r="AI20" s="25">
        <f t="shared" ca="1" si="15"/>
        <v>5.9495625470243604E-2</v>
      </c>
      <c r="AJ20" s="15" vm="512">
        <f ca="1">'Price Data'!S18</f>
        <v>174.61</v>
      </c>
      <c r="AK20" s="25">
        <f t="shared" ca="1" si="16"/>
        <v>5.5882433240838261E-2</v>
      </c>
      <c r="AL20" s="15" vm="513">
        <f ca="1">'Price Data'!T18</f>
        <v>299.33</v>
      </c>
      <c r="AM20" s="25">
        <f t="shared" ca="1" si="17"/>
        <v>-5.3657450428442402E-2</v>
      </c>
      <c r="AN20" s="15" vm="514">
        <f ca="1">'Price Data'!U18</f>
        <v>136.32</v>
      </c>
      <c r="AO20" s="25">
        <f t="shared" ca="1" si="18"/>
        <v>-3.9412551017021596E-2</v>
      </c>
      <c r="AP20" s="15" vm="515">
        <f ca="1">'Price Data'!V18</f>
        <v>118.17</v>
      </c>
      <c r="AQ20" s="25">
        <f t="shared" ca="1" si="19"/>
        <v>5.6665725768709915E-2</v>
      </c>
      <c r="AR20" s="15" vm="516">
        <f ca="1">'Price Data'!W18</f>
        <v>17.844899999999999</v>
      </c>
      <c r="AS20" s="25">
        <f t="shared" ca="1" si="20"/>
        <v>-2.5353237721564914E-3</v>
      </c>
      <c r="AT20" s="15" vm="517">
        <f ca="1">'Price Data'!X18</f>
        <v>57.37</v>
      </c>
      <c r="AU20" s="25">
        <f t="shared" ca="1" si="21"/>
        <v>0.20363831569017871</v>
      </c>
      <c r="AV20" s="15" vm="518">
        <f ca="1">'Price Data'!Y18</f>
        <v>51.77</v>
      </c>
      <c r="AW20" s="25">
        <f t="shared" ca="1" si="22"/>
        <v>9.7940640490932596E-2</v>
      </c>
      <c r="AX20" s="15" vm="519">
        <f ca="1">'Price Data'!Z18</f>
        <v>357.38</v>
      </c>
      <c r="AY20" s="25">
        <f t="shared" ca="1" si="23"/>
        <v>-9.5795775741417261E-3</v>
      </c>
      <c r="AZ20" s="15" vm="520">
        <f ca="1">'Price Data'!AA18</f>
        <v>308.31</v>
      </c>
      <c r="BA20" s="25">
        <f t="shared" ca="1" si="24"/>
        <v>3.1364784808610387E-2</v>
      </c>
      <c r="BB20" s="15" vm="521">
        <f ca="1">'Price Data'!AB18</f>
        <v>118.53</v>
      </c>
      <c r="BC20" s="25">
        <f t="shared" ca="1" si="25"/>
        <v>-3.3597784966176554E-2</v>
      </c>
      <c r="BD20" s="15" vm="522">
        <f ca="1">'Price Data'!AC18</f>
        <v>49.639499999999998</v>
      </c>
      <c r="BE20" s="25">
        <f t="shared" ca="1" si="26"/>
        <v>9.6949532862040333E-2</v>
      </c>
      <c r="BF20" s="15" vm="523">
        <f ca="1">'Price Data'!AD18</f>
        <v>62</v>
      </c>
      <c r="BG20" s="25">
        <f t="shared" ca="1" si="27"/>
        <v>-3.8634948250445898E-3</v>
      </c>
      <c r="BH20" s="15" vm="524">
        <f ca="1">'Price Data'!AE18</f>
        <v>247.28</v>
      </c>
      <c r="BI20" s="25">
        <f t="shared" ca="1" si="28"/>
        <v>1.0202303715042261E-2</v>
      </c>
      <c r="BJ20" s="15" vm="525">
        <f ca="1">'Price Data'!AF18</f>
        <v>453.69</v>
      </c>
      <c r="BK20" s="25">
        <f t="shared" ca="1" si="29"/>
        <v>3.35527490568093E-2</v>
      </c>
    </row>
    <row r="21" spans="1:63" x14ac:dyDescent="0.25">
      <c r="A21" s="24">
        <f t="shared" ca="1" si="30"/>
        <v>44652</v>
      </c>
      <c r="B21" s="15" vm="526">
        <f ca="1">'Price Data'!B19</f>
        <v>290.25040000000001</v>
      </c>
      <c r="C21" s="25">
        <f t="shared" ca="1" si="31"/>
        <v>-0.21312531540674653</v>
      </c>
      <c r="D21" s="15" vm="527">
        <f ca="1">'Price Data'!C19</f>
        <v>77.73</v>
      </c>
      <c r="E21" s="25">
        <f t="shared" ca="1" si="0"/>
        <v>-7.4953032276760465E-2</v>
      </c>
      <c r="F21" s="15" vm="528">
        <f ca="1">'Price Data'!D19</f>
        <v>18.547000000000001</v>
      </c>
      <c r="G21" s="25">
        <f t="shared" ca="1" si="1"/>
        <v>-0.38606569923353257</v>
      </c>
      <c r="H21" s="15" vm="529">
        <f ca="1">'Price Data'!E19</f>
        <v>50.5</v>
      </c>
      <c r="I21" s="25">
        <f t="shared" ca="1" si="2"/>
        <v>8.5536317809763091E-2</v>
      </c>
      <c r="J21" s="15" vm="530">
        <f ca="1">'Price Data'!F19</f>
        <v>200.47</v>
      </c>
      <c r="K21" s="25">
        <f t="shared" ca="1" si="3"/>
        <v>-0.10363308046888399</v>
      </c>
      <c r="L21" s="15" vm="314">
        <f ca="1">'Price Data'!G19</f>
        <v>13.936</v>
      </c>
      <c r="M21" s="25">
        <f t="shared" ca="1" si="4"/>
        <v>-0.17748424438257457</v>
      </c>
      <c r="N21" s="15" vm="531">
        <f ca="1">'Price Data'!H19</f>
        <v>36.450000000000003</v>
      </c>
      <c r="O21" s="25">
        <f t="shared" ca="1" si="5"/>
        <v>-7.7824357849220829E-2</v>
      </c>
      <c r="P21" s="15" vm="532">
        <f ca="1">'Price Data'!I19</f>
        <v>91.05</v>
      </c>
      <c r="Q21" s="25">
        <f t="shared" ca="1" si="6"/>
        <v>-0.14521466140339015</v>
      </c>
      <c r="R21" s="15" vm="533">
        <f ca="1">'Price Data'!J19</f>
        <v>148.84</v>
      </c>
      <c r="S21" s="25">
        <f t="shared" ca="1" si="7"/>
        <v>-0.25201590514227884</v>
      </c>
      <c r="T21" s="15" vm="534">
        <f ca="1">'Price Data'!K19</f>
        <v>29.112200000000001</v>
      </c>
      <c r="U21" s="25">
        <f t="shared" ca="1" si="8"/>
        <v>-8.3283775751702316E-2</v>
      </c>
      <c r="V21" s="15" vm="535">
        <f ca="1">'Price Data'!L19</f>
        <v>210.54</v>
      </c>
      <c r="W21" s="25">
        <f t="shared" ca="1" si="9"/>
        <v>-5.6688611807991701E-2</v>
      </c>
      <c r="X21" s="15" vm="536">
        <f ca="1">'Price Data'!M19</f>
        <v>292.13</v>
      </c>
      <c r="Y21" s="25">
        <f t="shared" ca="1" si="10"/>
        <v>1.9914227676558371E-2</v>
      </c>
      <c r="Z21" s="15" vm="537">
        <f ca="1">'Price Data'!N19</f>
        <v>114.1095</v>
      </c>
      <c r="AA21" s="25">
        <f t="shared" ca="1" si="11"/>
        <v>-0.19780091307030367</v>
      </c>
      <c r="AB21" s="15" vm="538">
        <f ca="1">'Price Data'!O19</f>
        <v>120.5795</v>
      </c>
      <c r="AC21" s="25">
        <f t="shared" ca="1" si="12"/>
        <v>-3.1800426333643557E-2</v>
      </c>
      <c r="AD21" s="15" vm="539">
        <f ca="1">'Price Data'!P19</f>
        <v>85.25</v>
      </c>
      <c r="AE21" s="25">
        <f t="shared" ca="1" si="13"/>
        <v>3.1699508341000542E-2</v>
      </c>
      <c r="AF21" s="15" vm="540">
        <f ca="1">'Price Data'!Q19</f>
        <v>109.74</v>
      </c>
      <c r="AG21" s="25">
        <f t="shared" ca="1" si="14"/>
        <v>-7.7726868410355171E-2</v>
      </c>
      <c r="AH21" s="15" vm="541">
        <f ca="1">'Price Data'!R19</f>
        <v>132.21</v>
      </c>
      <c r="AI21" s="25">
        <f t="shared" ca="1" si="15"/>
        <v>1.6703282745682592E-2</v>
      </c>
      <c r="AJ21" s="15" vm="542">
        <f ca="1">'Price Data'!S19</f>
        <v>157.65</v>
      </c>
      <c r="AK21" s="25">
        <f t="shared" ca="1" si="16"/>
        <v>-0.10217752954296631</v>
      </c>
      <c r="AL21" s="15" vm="543">
        <f ca="1">'Price Data'!T19</f>
        <v>300.39999999999998</v>
      </c>
      <c r="AM21" s="25">
        <f t="shared" ca="1" si="17"/>
        <v>3.568276175354968E-3</v>
      </c>
      <c r="AN21" s="15" vm="544">
        <f ca="1">'Price Data'!U19</f>
        <v>119.36</v>
      </c>
      <c r="AO21" s="25">
        <f t="shared" ca="1" si="18"/>
        <v>-0.13286092662555476</v>
      </c>
      <c r="AP21" s="15" vm="545">
        <f ca="1">'Price Data'!V19</f>
        <v>108.51</v>
      </c>
      <c r="AQ21" s="25">
        <f t="shared" ca="1" si="19"/>
        <v>-8.5281931018807849E-2</v>
      </c>
      <c r="AR21" s="15" vm="546">
        <f ca="1">'Price Data'!W19</f>
        <v>18.86</v>
      </c>
      <c r="AS21" s="25">
        <f t="shared" ca="1" si="20"/>
        <v>5.5325524089480452E-2</v>
      </c>
      <c r="AT21" s="15" vm="547">
        <f ca="1">'Price Data'!X19</f>
        <v>53.96</v>
      </c>
      <c r="AU21" s="25">
        <f t="shared" ca="1" si="21"/>
        <v>-6.1278487274224545E-2</v>
      </c>
      <c r="AV21" s="15" vm="548">
        <f ca="1">'Price Data'!Y19</f>
        <v>49.07</v>
      </c>
      <c r="AW21" s="25">
        <f t="shared" ca="1" si="22"/>
        <v>-5.3562980811998062E-2</v>
      </c>
      <c r="AX21" s="15" vm="549">
        <f ca="1">'Price Data'!Z19</f>
        <v>363.38</v>
      </c>
      <c r="AY21" s="25">
        <f t="shared" ca="1" si="23"/>
        <v>1.6649477223779227E-2</v>
      </c>
      <c r="AZ21" s="15" vm="550">
        <f ca="1">'Price Data'!AA19</f>
        <v>277.52</v>
      </c>
      <c r="BA21" s="25">
        <f t="shared" ca="1" si="24"/>
        <v>-0.10521276764359717</v>
      </c>
      <c r="BB21" s="15" vm="551">
        <f ca="1">'Price Data'!AB19</f>
        <v>117.01</v>
      </c>
      <c r="BC21" s="25">
        <f t="shared" ca="1" si="25"/>
        <v>-1.2906691860542416E-2</v>
      </c>
      <c r="BD21" s="15" vm="552">
        <f ca="1">'Price Data'!AC19</f>
        <v>50.996200000000002</v>
      </c>
      <c r="BE21" s="25">
        <f t="shared" ca="1" si="26"/>
        <v>2.696423238089226E-2</v>
      </c>
      <c r="BF21" s="15" vm="553">
        <f ca="1">'Price Data'!AD19</f>
        <v>64.61</v>
      </c>
      <c r="BG21" s="25">
        <f t="shared" ca="1" si="27"/>
        <v>4.1234812524982449E-2</v>
      </c>
      <c r="BH21" s="15" vm="554">
        <f ca="1">'Price Data'!AE19</f>
        <v>249.16</v>
      </c>
      <c r="BI21" s="25">
        <f t="shared" ca="1" si="28"/>
        <v>7.5739625620837971E-3</v>
      </c>
      <c r="BJ21" s="15" vm="555">
        <f ca="1">'Price Data'!AF19</f>
        <v>413.56</v>
      </c>
      <c r="BK21" s="25">
        <f t="shared" ca="1" si="29"/>
        <v>-9.2611538712266517E-2</v>
      </c>
    </row>
    <row r="22" spans="1:63" x14ac:dyDescent="0.25">
      <c r="A22" s="24">
        <f t="shared" ca="1" si="30"/>
        <v>44682</v>
      </c>
      <c r="B22" s="15" vm="556">
        <f ca="1">'Price Data'!B20</f>
        <v>252.7508</v>
      </c>
      <c r="C22" s="25">
        <f t="shared" ca="1" si="31"/>
        <v>-0.13833997562080091</v>
      </c>
      <c r="D22" s="15" vm="557">
        <f ca="1">'Price Data'!C20</f>
        <v>58.07</v>
      </c>
      <c r="E22" s="25">
        <f t="shared" ca="1" si="0"/>
        <v>-0.2915921038581698</v>
      </c>
      <c r="F22" s="15" vm="558">
        <f ca="1">'Price Data'!D20</f>
        <v>18.672000000000001</v>
      </c>
      <c r="G22" s="25">
        <f t="shared" ca="1" si="1"/>
        <v>6.7170246370503841E-3</v>
      </c>
      <c r="H22" s="15" vm="559">
        <f ca="1">'Price Data'!E20</f>
        <v>47.63</v>
      </c>
      <c r="I22" s="25">
        <f t="shared" ca="1" si="2"/>
        <v>-5.8510521468545053E-2</v>
      </c>
      <c r="J22" s="15" vm="560">
        <f ca="1">'Price Data'!F20</f>
        <v>193.64</v>
      </c>
      <c r="K22" s="25">
        <f t="shared" ca="1" si="3"/>
        <v>-3.4663844544891319E-2</v>
      </c>
      <c r="L22" s="15" vm="561">
        <f ca="1">'Price Data'!G20</f>
        <v>13.4636</v>
      </c>
      <c r="M22" s="25">
        <f t="shared" ca="1" si="4"/>
        <v>-3.4485672516197129E-2</v>
      </c>
      <c r="N22" s="15" vm="562">
        <f ca="1">'Price Data'!H20</f>
        <v>35.18</v>
      </c>
      <c r="O22" s="25">
        <f t="shared" ca="1" si="5"/>
        <v>-3.5463719145255077E-2</v>
      </c>
      <c r="P22" s="15" vm="563">
        <f ca="1">'Price Data'!I20</f>
        <v>88.01</v>
      </c>
      <c r="Q22" s="25">
        <f t="shared" ca="1" si="6"/>
        <v>-3.3958361787896463E-2</v>
      </c>
      <c r="R22" s="15" vm="564">
        <f ca="1">'Price Data'!J20</f>
        <v>131.4</v>
      </c>
      <c r="S22" s="25">
        <f t="shared" ca="1" si="7"/>
        <v>-0.12462579742791165</v>
      </c>
      <c r="T22" s="15" vm="565">
        <f ca="1">'Price Data'!K20</f>
        <v>28.050999999999998</v>
      </c>
      <c r="U22" s="25">
        <f t="shared" ca="1" si="8"/>
        <v>-3.7133048348373478E-2</v>
      </c>
      <c r="V22" s="15" vm="566">
        <f ca="1">'Price Data'!L20</f>
        <v>215.85</v>
      </c>
      <c r="W22" s="25">
        <f t="shared" ca="1" si="9"/>
        <v>2.4908063178307675E-2</v>
      </c>
      <c r="X22" s="15" vm="567">
        <f ca="1">'Price Data'!M20</f>
        <v>313.44</v>
      </c>
      <c r="Y22" s="25">
        <f t="shared" ca="1" si="10"/>
        <v>7.0409045523051772E-2</v>
      </c>
      <c r="Z22" s="15" vm="568">
        <f ca="1">'Price Data'!N20</f>
        <v>113.762</v>
      </c>
      <c r="AA22" s="25">
        <f t="shared" ca="1" si="11"/>
        <v>-3.0499669276675885E-3</v>
      </c>
      <c r="AB22" s="15" vm="569">
        <f ca="1">'Price Data'!O20</f>
        <v>124.8184</v>
      </c>
      <c r="AC22" s="25">
        <f t="shared" ca="1" si="12"/>
        <v>3.4550594537144728E-2</v>
      </c>
      <c r="AD22" s="15" vm="570">
        <f ca="1">'Price Data'!P20</f>
        <v>96</v>
      </c>
      <c r="AE22" s="25">
        <f t="shared" ca="1" si="13"/>
        <v>0.11876007530421016</v>
      </c>
      <c r="AF22" s="15" vm="571">
        <f ca="1">'Price Data'!Q20</f>
        <v>105.62</v>
      </c>
      <c r="AG22" s="25">
        <f t="shared" ca="1" si="14"/>
        <v>-3.8266184352042133E-2</v>
      </c>
      <c r="AH22" s="15" vm="572">
        <f ca="1">'Price Data'!R20</f>
        <v>138.84</v>
      </c>
      <c r="AI22" s="25">
        <f t="shared" ca="1" si="15"/>
        <v>4.8930623471580129E-2</v>
      </c>
      <c r="AJ22" s="15" vm="533">
        <f ca="1">'Price Data'!S20</f>
        <v>148.84</v>
      </c>
      <c r="AK22" s="25">
        <f t="shared" ca="1" si="16"/>
        <v>-5.7505482512648039E-2</v>
      </c>
      <c r="AL22" s="15" vm="573">
        <f ca="1">'Price Data'!T20</f>
        <v>302.75</v>
      </c>
      <c r="AM22" s="25">
        <f t="shared" ca="1" si="17"/>
        <v>7.7924625432220515E-3</v>
      </c>
      <c r="AN22" s="15" vm="574">
        <f ca="1">'Price Data'!U20</f>
        <v>132.22999999999999</v>
      </c>
      <c r="AO22" s="25">
        <f t="shared" ca="1" si="18"/>
        <v>0.10239869411328063</v>
      </c>
      <c r="AP22" s="15" vm="575">
        <f ca="1">'Price Data'!V20</f>
        <v>106.25</v>
      </c>
      <c r="AQ22" s="25">
        <f t="shared" ca="1" si="19"/>
        <v>-2.1047526827590132E-2</v>
      </c>
      <c r="AR22" s="15" vm="576">
        <f ca="1">'Price Data'!W20</f>
        <v>21.29</v>
      </c>
      <c r="AS22" s="25">
        <f t="shared" ca="1" si="20"/>
        <v>0.12119420170007671</v>
      </c>
      <c r="AT22" s="15" vm="577">
        <f ca="1">'Price Data'!X20</f>
        <v>52.97</v>
      </c>
      <c r="AU22" s="25">
        <f t="shared" ca="1" si="21"/>
        <v>-1.851731578311986E-2</v>
      </c>
      <c r="AV22" s="15" vm="578">
        <f ca="1">'Price Data'!Y20</f>
        <v>53.04</v>
      </c>
      <c r="AW22" s="25">
        <f t="shared" ca="1" si="22"/>
        <v>7.779849577579509E-2</v>
      </c>
      <c r="AX22" s="15" vm="579">
        <f ca="1">'Price Data'!Z20</f>
        <v>357.87</v>
      </c>
      <c r="AY22" s="25">
        <f t="shared" ca="1" si="23"/>
        <v>-1.5279326712330253E-2</v>
      </c>
      <c r="AZ22" s="15" vm="580">
        <f ca="1">'Price Data'!AA20</f>
        <v>271.87</v>
      </c>
      <c r="BA22" s="25">
        <f t="shared" ca="1" si="24"/>
        <v>-2.0568991792256242E-2</v>
      </c>
      <c r="BB22" s="15" vm="581">
        <f ca="1">'Price Data'!AB20</f>
        <v>121.47</v>
      </c>
      <c r="BC22" s="25">
        <f t="shared" ca="1" si="25"/>
        <v>3.7407917481312822E-2</v>
      </c>
      <c r="BD22" s="15" vm="582">
        <f ca="1">'Price Data'!AC20</f>
        <v>42.876199999999997</v>
      </c>
      <c r="BE22" s="25">
        <f t="shared" ca="1" si="26"/>
        <v>-0.17343422671178083</v>
      </c>
      <c r="BF22" s="15" vm="583">
        <f ca="1">'Price Data'!AD20</f>
        <v>63.38</v>
      </c>
      <c r="BG22" s="25">
        <f t="shared" ca="1" si="27"/>
        <v>-1.9220843307299309E-2</v>
      </c>
      <c r="BH22" s="15" vm="584">
        <f ca="1">'Price Data'!AE20</f>
        <v>252.21</v>
      </c>
      <c r="BI22" s="25">
        <f t="shared" ca="1" si="28"/>
        <v>1.216681342937034E-2</v>
      </c>
      <c r="BJ22" s="15" vm="585">
        <f ca="1">'Price Data'!AF20</f>
        <v>414.87</v>
      </c>
      <c r="BK22" s="25">
        <f t="shared" ca="1" si="29"/>
        <v>3.162611426184429E-3</v>
      </c>
    </row>
    <row r="23" spans="1:63" x14ac:dyDescent="0.25">
      <c r="A23" s="24">
        <f t="shared" ca="1" si="30"/>
        <v>44713</v>
      </c>
      <c r="B23" s="15" vm="586">
        <f ca="1">'Price Data'!B21</f>
        <v>224.47110000000001</v>
      </c>
      <c r="C23" s="25">
        <f t="shared" ca="1" si="31"/>
        <v>-0.11865705469498279</v>
      </c>
      <c r="D23" s="15" vm="587">
        <f ca="1">'Price Data'!C21</f>
        <v>34.909999999999997</v>
      </c>
      <c r="E23" s="25">
        <f t="shared" ca="1" si="0"/>
        <v>-0.50887585826701398</v>
      </c>
      <c r="F23" s="15" vm="588">
        <f ca="1">'Price Data'!D21</f>
        <v>15.159000000000001</v>
      </c>
      <c r="G23" s="25">
        <f t="shared" ca="1" si="1"/>
        <v>-0.20843066056631893</v>
      </c>
      <c r="H23" s="15" vm="589">
        <f ca="1">'Price Data'!E21</f>
        <v>35.42</v>
      </c>
      <c r="I23" s="25">
        <f t="shared" ca="1" si="2"/>
        <v>-0.29618618245808159</v>
      </c>
      <c r="J23" s="15" vm="590">
        <f ca="1">'Price Data'!F21</f>
        <v>161.25</v>
      </c>
      <c r="K23" s="25">
        <f t="shared" ca="1" si="3"/>
        <v>-0.18304480939561171</v>
      </c>
      <c r="L23" s="15" vm="591">
        <f ca="1">'Price Data'!G21</f>
        <v>10.953900000000001</v>
      </c>
      <c r="M23" s="25">
        <f t="shared" ca="1" si="4"/>
        <v>-0.2062941903593562</v>
      </c>
      <c r="N23" s="15" vm="592">
        <f ca="1">'Price Data'!H21</f>
        <v>31.66</v>
      </c>
      <c r="O23" s="25">
        <f t="shared" ca="1" si="5"/>
        <v>-0.105423684856546</v>
      </c>
      <c r="P23" s="15" vm="593">
        <f ca="1">'Price Data'!I21</f>
        <v>83.52</v>
      </c>
      <c r="Q23" s="25">
        <f t="shared" ca="1" si="6"/>
        <v>-5.2364320251391851E-2</v>
      </c>
      <c r="R23" s="15" vm="594">
        <f ca="1">'Price Data'!J21</f>
        <v>136.72</v>
      </c>
      <c r="S23" s="25">
        <f t="shared" ca="1" si="7"/>
        <v>3.9688932756825238E-2</v>
      </c>
      <c r="T23" s="15" vm="595">
        <f ca="1">'Price Data'!K21</f>
        <v>26.145199999999999</v>
      </c>
      <c r="U23" s="25">
        <f t="shared" ca="1" si="8"/>
        <v>-7.0358664700083409E-2</v>
      </c>
      <c r="V23" s="15" vm="596">
        <f ca="1">'Price Data'!L21</f>
        <v>178.76</v>
      </c>
      <c r="W23" s="25">
        <f t="shared" ca="1" si="9"/>
        <v>-0.18853959793623584</v>
      </c>
      <c r="X23" s="15" vm="597">
        <f ca="1">'Price Data'!M21</f>
        <v>324.23</v>
      </c>
      <c r="Y23" s="25">
        <f t="shared" ca="1" si="10"/>
        <v>3.384518629613345E-2</v>
      </c>
      <c r="Z23" s="15" vm="598">
        <f ca="1">'Price Data'!N21</f>
        <v>108.96299999999999</v>
      </c>
      <c r="AA23" s="25">
        <f t="shared" ca="1" si="11"/>
        <v>-4.3100171710577728E-2</v>
      </c>
      <c r="AB23" s="15" vm="599">
        <f ca="1">'Price Data'!O21</f>
        <v>108.19710000000001</v>
      </c>
      <c r="AC23" s="25">
        <f t="shared" ca="1" si="12"/>
        <v>-0.1429053171300787</v>
      </c>
      <c r="AD23" s="15" vm="600">
        <f ca="1">'Price Data'!P21</f>
        <v>85.64</v>
      </c>
      <c r="AE23" s="25">
        <f t="shared" ca="1" si="13"/>
        <v>-0.11419572774635418</v>
      </c>
      <c r="AF23" s="15" vm="601">
        <f ca="1">'Price Data'!Q21</f>
        <v>98.25</v>
      </c>
      <c r="AG23" s="25">
        <f t="shared" ca="1" si="14"/>
        <v>-7.2332496529416548E-2</v>
      </c>
      <c r="AH23" s="15" vm="602">
        <f ca="1">'Price Data'!R21</f>
        <v>141.19</v>
      </c>
      <c r="AI23" s="25">
        <f t="shared" ca="1" si="15"/>
        <v>1.6784310027848172E-2</v>
      </c>
      <c r="AJ23" s="15" vm="594">
        <f ca="1">'Price Data'!S21</f>
        <v>136.72</v>
      </c>
      <c r="AK23" s="25">
        <f t="shared" ca="1" si="16"/>
        <v>-8.4936864671086312E-2</v>
      </c>
      <c r="AL23" s="15" vm="603">
        <f ca="1">'Price Data'!T21</f>
        <v>274.27</v>
      </c>
      <c r="AM23" s="25">
        <f t="shared" ca="1" si="17"/>
        <v>-9.8794359774584617E-2</v>
      </c>
      <c r="AN23" s="15" vm="604">
        <f ca="1">'Price Data'!U21</f>
        <v>112.61</v>
      </c>
      <c r="AO23" s="25">
        <f t="shared" ca="1" si="18"/>
        <v>-0.16061230885979724</v>
      </c>
      <c r="AP23" s="15" vm="605">
        <f ca="1">'Price Data'!V21</f>
        <v>95.68</v>
      </c>
      <c r="AQ23" s="25">
        <f t="shared" ca="1" si="19"/>
        <v>-0.10478551760220448</v>
      </c>
      <c r="AR23" s="15" vm="606">
        <f ca="1">'Price Data'!W21</f>
        <v>20.96</v>
      </c>
      <c r="AS23" s="25">
        <f t="shared" ca="1" si="20"/>
        <v>-1.5621619452546578E-2</v>
      </c>
      <c r="AT23" s="15" vm="607">
        <f ca="1">'Price Data'!X21</f>
        <v>47.33</v>
      </c>
      <c r="AU23" s="25">
        <f t="shared" ca="1" si="21"/>
        <v>-0.11258137163827872</v>
      </c>
      <c r="AV23" s="15" vm="608">
        <f ca="1">'Price Data'!Y21</f>
        <v>52.43</v>
      </c>
      <c r="AW23" s="25">
        <f t="shared" ca="1" si="22"/>
        <v>-1.1567399293165611E-2</v>
      </c>
      <c r="AX23" s="15" vm="609">
        <f ca="1">'Price Data'!Z21</f>
        <v>315.48</v>
      </c>
      <c r="AY23" s="25">
        <f t="shared" ca="1" si="23"/>
        <v>-0.12607450343217388</v>
      </c>
      <c r="AZ23" s="15" vm="610">
        <f ca="1">'Price Data'!AA21</f>
        <v>256.83</v>
      </c>
      <c r="BA23" s="25">
        <f t="shared" ca="1" si="24"/>
        <v>-5.6909623446734003E-2</v>
      </c>
      <c r="BB23" s="15" vm="611">
        <f ca="1">'Price Data'!AB21</f>
        <v>113.51</v>
      </c>
      <c r="BC23" s="25">
        <f t="shared" ca="1" si="25"/>
        <v>-6.7776379944931422E-2</v>
      </c>
      <c r="BD23" s="15" vm="612">
        <f ca="1">'Price Data'!AC21</f>
        <v>40.526299999999999</v>
      </c>
      <c r="BE23" s="25">
        <f t="shared" ca="1" si="26"/>
        <v>-5.6365747361806565E-2</v>
      </c>
      <c r="BF23" s="15" vm="613">
        <f ca="1">'Price Data'!AD21</f>
        <v>62.91</v>
      </c>
      <c r="BG23" s="25">
        <f t="shared" ca="1" si="27"/>
        <v>-7.4432206808365004E-3</v>
      </c>
      <c r="BH23" s="15" vm="614">
        <f ca="1">'Price Data'!AE21</f>
        <v>246.88</v>
      </c>
      <c r="BI23" s="25">
        <f t="shared" ca="1" si="28"/>
        <v>-2.1359685200464513E-2</v>
      </c>
      <c r="BJ23" s="15" vm="615">
        <f ca="1">'Price Data'!AF21</f>
        <v>379.15</v>
      </c>
      <c r="BK23" s="25">
        <f t="shared" ca="1" si="29"/>
        <v>-9.0033312997732234E-2</v>
      </c>
    </row>
    <row r="24" spans="1:63" x14ac:dyDescent="0.25">
      <c r="A24" s="24">
        <f t="shared" ca="1" si="30"/>
        <v>44743</v>
      </c>
      <c r="B24" s="15" vm="616">
        <f ca="1">'Price Data'!B22</f>
        <v>297.14699999999999</v>
      </c>
      <c r="C24" s="25">
        <f t="shared" ca="1" si="31"/>
        <v>0.2804799974669735</v>
      </c>
      <c r="D24" s="15" vm="617">
        <f ca="1">'Price Data'!C22</f>
        <v>38.71</v>
      </c>
      <c r="E24" s="25">
        <f t="shared" ca="1" si="0"/>
        <v>0.10332464347261218</v>
      </c>
      <c r="F24" s="15" vm="618">
        <f ca="1">'Price Data'!D22</f>
        <v>18.163</v>
      </c>
      <c r="G24" s="25">
        <f t="shared" ca="1" si="1"/>
        <v>0.18079214278942504</v>
      </c>
      <c r="H24" s="15" vm="619">
        <f ca="1">'Price Data'!E22</f>
        <v>36.75</v>
      </c>
      <c r="I24" s="25">
        <f t="shared" ca="1" si="2"/>
        <v>3.6861593304158204E-2</v>
      </c>
      <c r="J24" s="15" vm="620">
        <f ca="1">'Price Data'!F22</f>
        <v>159.1</v>
      </c>
      <c r="K24" s="25">
        <f t="shared" ca="1" si="3"/>
        <v>-1.3423020332140774E-2</v>
      </c>
      <c r="L24" s="15" vm="621">
        <f ca="1">'Price Data'!G22</f>
        <v>14.457599999999999</v>
      </c>
      <c r="M24" s="25">
        <f t="shared" ca="1" si="4"/>
        <v>0.27752467061689873</v>
      </c>
      <c r="N24" s="15" vm="622">
        <f ca="1">'Price Data'!H22</f>
        <v>37.81</v>
      </c>
      <c r="O24" s="25">
        <f t="shared" ca="1" si="5"/>
        <v>0.17751956344997541</v>
      </c>
      <c r="P24" s="15" vm="623">
        <f ca="1">'Price Data'!I22</f>
        <v>95.89</v>
      </c>
      <c r="Q24" s="25">
        <f t="shared" ca="1" si="6"/>
        <v>0.13811557703126132</v>
      </c>
      <c r="R24" s="15" vm="624">
        <f ca="1">'Price Data'!J22</f>
        <v>159.31</v>
      </c>
      <c r="S24" s="25">
        <f t="shared" ca="1" si="7"/>
        <v>0.15291695077746797</v>
      </c>
      <c r="T24" s="15" vm="625">
        <f ca="1">'Price Data'!K22</f>
        <v>31.284400000000002</v>
      </c>
      <c r="U24" s="25">
        <f t="shared" ca="1" si="8"/>
        <v>0.17945395348931986</v>
      </c>
      <c r="V24" s="15" vm="626">
        <f ca="1">'Price Data'!L22</f>
        <v>198.25</v>
      </c>
      <c r="W24" s="25">
        <f t="shared" ca="1" si="9"/>
        <v>0.10348473644970657</v>
      </c>
      <c r="X24" s="15" vm="627">
        <f ca="1">'Price Data'!M22</f>
        <v>329.69</v>
      </c>
      <c r="Y24" s="25">
        <f t="shared" ca="1" si="10"/>
        <v>1.6699678521760183E-2</v>
      </c>
      <c r="Z24" s="15" vm="628">
        <f ca="1">'Price Data'!N22</f>
        <v>116.32</v>
      </c>
      <c r="AA24" s="25">
        <f t="shared" ca="1" si="11"/>
        <v>6.5336638723386603E-2</v>
      </c>
      <c r="AB24" s="15" vm="629">
        <f ca="1">'Price Data'!O22</f>
        <v>119.76009999999999</v>
      </c>
      <c r="AC24" s="25">
        <f t="shared" ca="1" si="12"/>
        <v>0.10153601127928347</v>
      </c>
      <c r="AD24" s="15" vm="630">
        <f ca="1">'Price Data'!P22</f>
        <v>96.93</v>
      </c>
      <c r="AE24" s="25">
        <f t="shared" ca="1" si="13"/>
        <v>0.12383660478303464</v>
      </c>
      <c r="AF24" s="15" vm="631">
        <f ca="1">'Price Data'!Q22</f>
        <v>97.62</v>
      </c>
      <c r="AG24" s="25">
        <f t="shared" ca="1" si="14"/>
        <v>-6.4328602903691422E-3</v>
      </c>
      <c r="AH24" s="15" vm="632">
        <f ca="1">'Price Data'!R22</f>
        <v>130.79</v>
      </c>
      <c r="AI24" s="25">
        <f t="shared" ca="1" si="15"/>
        <v>-7.6513517520372748E-2</v>
      </c>
      <c r="AJ24" s="15" vm="633">
        <f ca="1">'Price Data'!S22</f>
        <v>162.51</v>
      </c>
      <c r="AK24" s="25">
        <f t="shared" ca="1" si="16"/>
        <v>0.17280449953058177</v>
      </c>
      <c r="AL24" s="15" vm="634">
        <f ca="1">'Price Data'!T22</f>
        <v>300.94</v>
      </c>
      <c r="AM24" s="25">
        <f t="shared" ca="1" si="17"/>
        <v>9.2797886672114957E-2</v>
      </c>
      <c r="AN24" s="15" vm="635">
        <f ca="1">'Price Data'!U22</f>
        <v>115.36</v>
      </c>
      <c r="AO24" s="25">
        <f t="shared" ca="1" si="18"/>
        <v>2.4127151827704821E-2</v>
      </c>
      <c r="AP24" s="15" vm="636">
        <f ca="1">'Price Data'!V22</f>
        <v>99.99</v>
      </c>
      <c r="AQ24" s="25">
        <f t="shared" ca="1" si="19"/>
        <v>4.4060890785436208E-2</v>
      </c>
      <c r="AR24" s="15" vm="637">
        <f ca="1">'Price Data'!W22</f>
        <v>18.78</v>
      </c>
      <c r="AS24" s="25">
        <f t="shared" ca="1" si="20"/>
        <v>-0.1098233856727245</v>
      </c>
      <c r="AT24" s="15" vm="638">
        <f ca="1">'Price Data'!X22</f>
        <v>46.44</v>
      </c>
      <c r="AU24" s="25">
        <f t="shared" ca="1" si="21"/>
        <v>-1.8983187088465917E-2</v>
      </c>
      <c r="AV24" s="15" vm="639">
        <f ca="1">'Price Data'!Y22</f>
        <v>50.51</v>
      </c>
      <c r="AW24" s="25">
        <f t="shared" ca="1" si="22"/>
        <v>-3.73076101044802E-2</v>
      </c>
      <c r="AX24" s="15" vm="640">
        <f ca="1">'Price Data'!Z22</f>
        <v>353.79</v>
      </c>
      <c r="AY24" s="25">
        <f t="shared" ca="1" si="23"/>
        <v>0.11460822824019821</v>
      </c>
      <c r="AZ24" s="15" vm="641">
        <f ca="1">'Price Data'!AA22</f>
        <v>280.74</v>
      </c>
      <c r="BA24" s="25">
        <f t="shared" ca="1" si="24"/>
        <v>8.9014586683676122E-2</v>
      </c>
      <c r="BB24" s="15" vm="642">
        <f ca="1">'Price Data'!AB22</f>
        <v>122.54</v>
      </c>
      <c r="BC24" s="25">
        <f t="shared" ca="1" si="25"/>
        <v>7.6546568530260567E-2</v>
      </c>
      <c r="BD24" s="15" vm="643">
        <f ca="1">'Price Data'!AC22</f>
        <v>44.016199999999998</v>
      </c>
      <c r="BE24" s="25">
        <f t="shared" ca="1" si="26"/>
        <v>8.2606601903325888E-2</v>
      </c>
      <c r="BF24" s="15" vm="644">
        <f ca="1">'Price Data'!AD22</f>
        <v>64.17</v>
      </c>
      <c r="BG24" s="25">
        <f t="shared" ca="1" si="27"/>
        <v>1.9830678180485714E-2</v>
      </c>
      <c r="BH24" s="15" vm="645">
        <f ca="1">'Price Data'!AE22</f>
        <v>263.37</v>
      </c>
      <c r="BI24" s="25">
        <f t="shared" ca="1" si="28"/>
        <v>6.4657498991376308E-2</v>
      </c>
      <c r="BJ24" s="15" vm="646">
        <f ca="1">'Price Data'!AF22</f>
        <v>414.28</v>
      </c>
      <c r="BK24" s="25">
        <f t="shared" ca="1" si="29"/>
        <v>8.8610168573733578E-2</v>
      </c>
    </row>
    <row r="25" spans="1:63" x14ac:dyDescent="0.25">
      <c r="A25" s="24">
        <f t="shared" ca="1" si="30"/>
        <v>44774</v>
      </c>
      <c r="B25" s="15" vm="647">
        <f ca="1">'Price Data'!B23</f>
        <v>275.61</v>
      </c>
      <c r="C25" s="25">
        <f t="shared" ca="1" si="31"/>
        <v>-7.5240142899064735E-2</v>
      </c>
      <c r="D25" s="15" vm="648">
        <f ca="1">'Price Data'!C23</f>
        <v>40.85</v>
      </c>
      <c r="E25" s="25">
        <f t="shared" ca="1" si="0"/>
        <v>5.3808856716455092E-2</v>
      </c>
      <c r="F25" s="15" vm="649">
        <f ca="1">'Price Data'!D23</f>
        <v>15.093999999999999</v>
      </c>
      <c r="G25" s="25">
        <f t="shared" ca="1" si="1"/>
        <v>-0.18508924390462977</v>
      </c>
      <c r="H25" s="15" vm="650">
        <f ca="1">'Price Data'!E23</f>
        <v>35.01</v>
      </c>
      <c r="I25" s="25">
        <f t="shared" ca="1" si="2"/>
        <v>-4.850449069227139E-2</v>
      </c>
      <c r="J25" s="15" vm="651">
        <f ca="1">'Price Data'!F23</f>
        <v>162.93</v>
      </c>
      <c r="K25" s="25">
        <f t="shared" ca="1" si="3"/>
        <v>2.3787725371122583E-2</v>
      </c>
      <c r="L25" s="15" vm="652">
        <f ca="1">'Price Data'!G23</f>
        <v>14.998900000000001</v>
      </c>
      <c r="M25" s="25">
        <f t="shared" ca="1" si="4"/>
        <v>3.6756637228364121E-2</v>
      </c>
      <c r="N25" s="15" vm="653">
        <f ca="1">'Price Data'!H23</f>
        <v>38.57</v>
      </c>
      <c r="O25" s="25">
        <f t="shared" ca="1" si="5"/>
        <v>1.9901154317294806E-2</v>
      </c>
      <c r="P25" s="15" vm="654">
        <f ca="1">'Price Data'!I23</f>
        <v>80.83</v>
      </c>
      <c r="Q25" s="25">
        <f t="shared" ca="1" si="6"/>
        <v>-0.17085351741983679</v>
      </c>
      <c r="R25" s="15" vm="655">
        <f ca="1">'Price Data'!J23</f>
        <v>160.25</v>
      </c>
      <c r="S25" s="25">
        <f t="shared" ca="1" si="7"/>
        <v>5.8831062159758673E-3</v>
      </c>
      <c r="T25" s="15" vm="656">
        <f ca="1">'Price Data'!K23</f>
        <v>31.936</v>
      </c>
      <c r="U25" s="25">
        <f t="shared" ca="1" si="8"/>
        <v>2.0614329382694363E-2</v>
      </c>
      <c r="V25" s="15" vm="657">
        <f ca="1">'Price Data'!L23</f>
        <v>184.71</v>
      </c>
      <c r="W25" s="25">
        <f t="shared" ca="1" si="9"/>
        <v>-7.074183292372889E-2</v>
      </c>
      <c r="X25" s="15" vm="658">
        <f ca="1">'Price Data'!M23</f>
        <v>301.23</v>
      </c>
      <c r="Y25" s="25">
        <f t="shared" ca="1" si="10"/>
        <v>-9.0278726454669625E-2</v>
      </c>
      <c r="Z25" s="15" vm="659">
        <f ca="1">'Price Data'!N23</f>
        <v>108.22</v>
      </c>
      <c r="AA25" s="25">
        <f t="shared" ca="1" si="11"/>
        <v>-7.2178821570619986E-2</v>
      </c>
      <c r="AB25" s="15" vm="660">
        <f ca="1">'Price Data'!O23</f>
        <v>103.9665</v>
      </c>
      <c r="AC25" s="25">
        <f t="shared" ca="1" si="12"/>
        <v>-0.14142184324791093</v>
      </c>
      <c r="AD25" s="15" vm="661">
        <f ca="1">'Price Data'!P23</f>
        <v>95.59</v>
      </c>
      <c r="AE25" s="25">
        <f t="shared" ca="1" si="13"/>
        <v>-1.3920856428845399E-2</v>
      </c>
      <c r="AF25" s="15" vm="662">
        <f ca="1">'Price Data'!Q23</f>
        <v>88.49</v>
      </c>
      <c r="AG25" s="25">
        <f t="shared" ca="1" si="14"/>
        <v>-9.819283917974278E-2</v>
      </c>
      <c r="AH25" s="15" vm="663">
        <f ca="1">'Price Data'!R23</f>
        <v>128.44999999999999</v>
      </c>
      <c r="AI25" s="25">
        <f t="shared" ca="1" si="15"/>
        <v>-1.8053259945168487E-2</v>
      </c>
      <c r="AJ25" s="15" vm="664">
        <f ca="1">'Price Data'!S23</f>
        <v>157.22</v>
      </c>
      <c r="AK25" s="25">
        <f t="shared" ca="1" si="16"/>
        <v>-3.3093439972306703E-2</v>
      </c>
      <c r="AL25" s="15" vm="665">
        <f ca="1">'Price Data'!T23</f>
        <v>288.42</v>
      </c>
      <c r="AM25" s="25">
        <f t="shared" ca="1" si="17"/>
        <v>-4.2493158196807664E-2</v>
      </c>
      <c r="AN25" s="15" vm="666">
        <f ca="1">'Price Data'!U23</f>
        <v>113.73</v>
      </c>
      <c r="AO25" s="25">
        <f t="shared" ca="1" si="18"/>
        <v>-1.4230455340285749E-2</v>
      </c>
      <c r="AP25" s="15" vm="667">
        <f ca="1">'Price Data'!V23</f>
        <v>95.75</v>
      </c>
      <c r="AQ25" s="25">
        <f t="shared" ca="1" si="19"/>
        <v>-4.3329552927002572E-2</v>
      </c>
      <c r="AR25" s="15" vm="668">
        <f ca="1">'Price Data'!W23</f>
        <v>17.54</v>
      </c>
      <c r="AS25" s="25">
        <f t="shared" ca="1" si="20"/>
        <v>-6.830848683608004E-2</v>
      </c>
      <c r="AT25" s="15" vm="669">
        <f ca="1">'Price Data'!X23</f>
        <v>47.94</v>
      </c>
      <c r="AU25" s="25">
        <f t="shared" ca="1" si="21"/>
        <v>3.1789072176547535E-2</v>
      </c>
      <c r="AV25" s="15" vm="670">
        <f ca="1">'Price Data'!Y23</f>
        <v>45.23</v>
      </c>
      <c r="AW25" s="25">
        <f t="shared" ca="1" si="22"/>
        <v>-0.11041075299020947</v>
      </c>
      <c r="AX25" s="15" vm="671">
        <f ca="1">'Price Data'!Z23</f>
        <v>324.37</v>
      </c>
      <c r="AY25" s="25">
        <f t="shared" ca="1" si="23"/>
        <v>-8.6818677226824972E-2</v>
      </c>
      <c r="AZ25" s="15" vm="672">
        <f ca="1">'Price Data'!AA23</f>
        <v>261.47000000000003</v>
      </c>
      <c r="BA25" s="25">
        <f t="shared" ca="1" si="24"/>
        <v>-7.1109419935706741E-2</v>
      </c>
      <c r="BB25" s="15" vm="673">
        <f ca="1">'Price Data'!AB23</f>
        <v>111.24</v>
      </c>
      <c r="BC25" s="25">
        <f t="shared" ca="1" si="25"/>
        <v>-9.6747477931744472E-2</v>
      </c>
      <c r="BD25" s="15" vm="674">
        <f ca="1">'Price Data'!AC23</f>
        <v>44.182899999999997</v>
      </c>
      <c r="BE25" s="25">
        <f t="shared" ca="1" si="26"/>
        <v>3.7800884249143633E-3</v>
      </c>
      <c r="BF25" s="15" vm="675">
        <f ca="1">'Price Data'!AD23</f>
        <v>61.71</v>
      </c>
      <c r="BG25" s="25">
        <f t="shared" ca="1" si="27"/>
        <v>-3.908981942944844E-2</v>
      </c>
      <c r="BH25" s="15" vm="676">
        <f ca="1">'Price Data'!AE23</f>
        <v>252.28</v>
      </c>
      <c r="BI25" s="25">
        <f t="shared" ca="1" si="28"/>
        <v>-4.3020305810776649E-2</v>
      </c>
      <c r="BJ25" s="15" vm="677">
        <f ca="1">'Price Data'!AF23</f>
        <v>397.18</v>
      </c>
      <c r="BK25" s="25">
        <f t="shared" ca="1" si="29"/>
        <v>-4.2152495284659391E-2</v>
      </c>
    </row>
    <row r="26" spans="1:63" x14ac:dyDescent="0.25">
      <c r="A26" s="24">
        <f t="shared" ca="1" si="30"/>
        <v>44805</v>
      </c>
      <c r="B26" s="15" vm="678">
        <f ca="1">'Price Data'!B24</f>
        <v>265.25</v>
      </c>
      <c r="C26" s="25">
        <f t="shared" ca="1" si="31"/>
        <v>-3.8314045457392337E-2</v>
      </c>
      <c r="D26" s="15" vm="679">
        <f ca="1">'Price Data'!C24</f>
        <v>37.9</v>
      </c>
      <c r="E26" s="25">
        <f t="shared" ca="1" si="0"/>
        <v>-7.4955709217631256E-2</v>
      </c>
      <c r="F26" s="15" vm="680">
        <f ca="1">'Price Data'!D24</f>
        <v>12.138999999999999</v>
      </c>
      <c r="G26" s="25">
        <f t="shared" ca="1" si="1"/>
        <v>-0.21787390394701003</v>
      </c>
      <c r="H26" s="15" vm="681">
        <f ca="1">'Price Data'!E24</f>
        <v>32.53</v>
      </c>
      <c r="I26" s="25">
        <f t="shared" ca="1" si="2"/>
        <v>-7.3470994481314125E-2</v>
      </c>
      <c r="J26" s="15" vm="682">
        <f ca="1">'Price Data'!F24</f>
        <v>135.68</v>
      </c>
      <c r="K26" s="25">
        <f t="shared" ca="1" si="3"/>
        <v>-0.18302148867127066</v>
      </c>
      <c r="L26" s="15" vm="683">
        <f ca="1">'Price Data'!G24</f>
        <v>11.0228</v>
      </c>
      <c r="M26" s="25">
        <f t="shared" ca="1" si="4"/>
        <v>-0.3080110101442563</v>
      </c>
      <c r="N26" s="15" vm="684">
        <f ca="1">'Price Data'!H24</f>
        <v>34.880000000000003</v>
      </c>
      <c r="O26" s="25">
        <f t="shared" ca="1" si="5"/>
        <v>-0.10056117317935745</v>
      </c>
      <c r="P26" s="15" vm="685">
        <f ca="1">'Price Data'!I24</f>
        <v>70.010000000000005</v>
      </c>
      <c r="Q26" s="25">
        <f t="shared" ca="1" si="6"/>
        <v>-0.14371009475664667</v>
      </c>
      <c r="R26" s="15" vm="686">
        <f ca="1">'Price Data'!J24</f>
        <v>121.08</v>
      </c>
      <c r="S26" s="25">
        <f t="shared" ca="1" si="7"/>
        <v>-0.28028361164726151</v>
      </c>
      <c r="T26" s="15" vm="687">
        <f ca="1">'Price Data'!K24</f>
        <v>30.055199999999999</v>
      </c>
      <c r="U26" s="25">
        <f t="shared" ca="1" si="8"/>
        <v>-6.0698209193258142E-2</v>
      </c>
      <c r="V26" s="15" vm="688">
        <f ca="1">'Price Data'!L24</f>
        <v>164.08</v>
      </c>
      <c r="W26" s="25">
        <f t="shared" ca="1" si="9"/>
        <v>-0.11843291382710329</v>
      </c>
      <c r="X26" s="15" vm="689">
        <f ca="1">'Price Data'!M24</f>
        <v>323.35000000000002</v>
      </c>
      <c r="Y26" s="25">
        <f t="shared" ca="1" si="10"/>
        <v>7.0861235333147213E-2</v>
      </c>
      <c r="Z26" s="15" vm="690">
        <f ca="1">'Price Data'!N24</f>
        <v>95.65</v>
      </c>
      <c r="AA26" s="25">
        <f t="shared" ca="1" si="11"/>
        <v>-0.12347049632832729</v>
      </c>
      <c r="AB26" s="15" vm="691">
        <f ca="1">'Price Data'!O24</f>
        <v>92.386799999999994</v>
      </c>
      <c r="AC26" s="25">
        <f t="shared" ca="1" si="12"/>
        <v>-0.11808462056672563</v>
      </c>
      <c r="AD26" s="15" vm="692">
        <f ca="1">'Price Data'!P24</f>
        <v>87.31</v>
      </c>
      <c r="AE26" s="25">
        <f t="shared" ca="1" si="13"/>
        <v>-9.0603208252954939E-2</v>
      </c>
      <c r="AF26" s="15" vm="693">
        <f ca="1">'Price Data'!Q24</f>
        <v>80.31</v>
      </c>
      <c r="AG26" s="25">
        <f t="shared" ca="1" si="14"/>
        <v>-9.6995405078887903E-2</v>
      </c>
      <c r="AH26" s="15" vm="694">
        <f ca="1">'Price Data'!R24</f>
        <v>118.81</v>
      </c>
      <c r="AI26" s="25">
        <f t="shared" ca="1" si="15"/>
        <v>-7.8014145085696443E-2</v>
      </c>
      <c r="AJ26" s="15" vm="695">
        <f ca="1">'Price Data'!S24</f>
        <v>138.19999999999999</v>
      </c>
      <c r="AK26" s="25">
        <f t="shared" ca="1" si="16"/>
        <v>-0.12894418703204094</v>
      </c>
      <c r="AL26" s="15" vm="696">
        <f ca="1">'Price Data'!T24</f>
        <v>275.94</v>
      </c>
      <c r="AM26" s="25">
        <f t="shared" ca="1" si="17"/>
        <v>-4.4234300354036922E-2</v>
      </c>
      <c r="AN26" s="15" vm="697">
        <f ca="1">'Price Data'!U24</f>
        <v>104.5</v>
      </c>
      <c r="AO26" s="25">
        <f t="shared" ca="1" si="18"/>
        <v>-8.4640146791487542E-2</v>
      </c>
      <c r="AP26" s="15" vm="698">
        <f ca="1">'Price Data'!V24</f>
        <v>85.78</v>
      </c>
      <c r="AQ26" s="25">
        <f t="shared" ca="1" si="19"/>
        <v>-0.10995474897202101</v>
      </c>
      <c r="AR26" s="15" vm="699">
        <f ca="1">'Price Data'!W24</f>
        <v>15.34</v>
      </c>
      <c r="AS26" s="25">
        <f t="shared" ca="1" si="20"/>
        <v>-0.13402019100492676</v>
      </c>
      <c r="AT26" s="15" vm="700">
        <f ca="1">'Price Data'!X24</f>
        <v>43.75</v>
      </c>
      <c r="AU26" s="25">
        <f t="shared" ca="1" si="21"/>
        <v>-9.1458616202614765E-2</v>
      </c>
      <c r="AV26" s="15" vm="701">
        <f ca="1">'Price Data'!Y24</f>
        <v>43.76</v>
      </c>
      <c r="AW26" s="25">
        <f t="shared" ca="1" si="22"/>
        <v>-3.3040425376025979E-2</v>
      </c>
      <c r="AX26" s="15" vm="702">
        <f ca="1">'Price Data'!Z24</f>
        <v>284.33999999999997</v>
      </c>
      <c r="AY26" s="25">
        <f t="shared" ca="1" si="23"/>
        <v>-0.13171413433561155</v>
      </c>
      <c r="AZ26" s="15" vm="703">
        <f ca="1">'Price Data'!AA24</f>
        <v>232.9</v>
      </c>
      <c r="BA26" s="25">
        <f t="shared" ca="1" si="24"/>
        <v>-0.11571037728017783</v>
      </c>
      <c r="BB26" s="15" vm="704">
        <f ca="1">'Price Data'!AB24</f>
        <v>106.34</v>
      </c>
      <c r="BC26" s="25">
        <f t="shared" ca="1" si="25"/>
        <v>-4.5048521289571541E-2</v>
      </c>
      <c r="BD26" s="15" vm="705">
        <f ca="1">'Price Data'!AC24</f>
        <v>43.232900000000001</v>
      </c>
      <c r="BE26" s="25">
        <f t="shared" ca="1" si="26"/>
        <v>-2.1736056925307754E-2</v>
      </c>
      <c r="BF26" s="15" vm="706">
        <f ca="1">'Price Data'!AD24</f>
        <v>56.02</v>
      </c>
      <c r="BG26" s="25">
        <f t="shared" ca="1" si="27"/>
        <v>-9.6737222501012993E-2</v>
      </c>
      <c r="BH26" s="15" vm="707">
        <f ca="1">'Price Data'!AE24</f>
        <v>230.74</v>
      </c>
      <c r="BI26" s="25">
        <f t="shared" ca="1" si="28"/>
        <v>-8.9248046296306852E-2</v>
      </c>
      <c r="BJ26" s="15" vm="708">
        <f ca="1">'Price Data'!AF24</f>
        <v>358.65</v>
      </c>
      <c r="BK26" s="25">
        <f t="shared" ca="1" si="29"/>
        <v>-0.10204259586357527</v>
      </c>
    </row>
    <row r="27" spans="1:63" x14ac:dyDescent="0.25">
      <c r="A27" s="24">
        <f t="shared" ca="1" si="30"/>
        <v>44835</v>
      </c>
      <c r="B27" s="15" vm="709">
        <f ca="1">'Price Data'!B25</f>
        <v>227.54</v>
      </c>
      <c r="C27" s="25">
        <f t="shared" ca="1" si="31"/>
        <v>-0.15334673038252214</v>
      </c>
      <c r="D27" s="15" vm="710">
        <f ca="1">'Price Data'!C25</f>
        <v>53.38</v>
      </c>
      <c r="E27" s="25">
        <f t="shared" ca="1" si="0"/>
        <v>0.3424850318879975</v>
      </c>
      <c r="F27" s="15" vm="711">
        <f ca="1">'Price Data'!D25</f>
        <v>13.497</v>
      </c>
      <c r="G27" s="25">
        <f t="shared" ca="1" si="1"/>
        <v>0.10604402861147842</v>
      </c>
      <c r="H27" s="15" vm="712">
        <f ca="1">'Price Data'!E25</f>
        <v>43.08</v>
      </c>
      <c r="I27" s="25">
        <f t="shared" ca="1" si="2"/>
        <v>0.28089611180292767</v>
      </c>
      <c r="J27" s="15" vm="713">
        <f ca="1">'Price Data'!F25</f>
        <v>93.16</v>
      </c>
      <c r="K27" s="25">
        <f t="shared" ca="1" si="3"/>
        <v>-0.37598072702745283</v>
      </c>
      <c r="L27" s="15" vm="714">
        <f ca="1">'Price Data'!G25</f>
        <v>13.1585</v>
      </c>
      <c r="M27" s="25">
        <f t="shared" ca="1" si="4"/>
        <v>0.17710208270223837</v>
      </c>
      <c r="N27" s="15" vm="715">
        <f ca="1">'Price Data'!H25</f>
        <v>43</v>
      </c>
      <c r="O27" s="25">
        <f t="shared" ca="1" si="5"/>
        <v>0.20928651665278342</v>
      </c>
      <c r="P27" s="15" vm="716">
        <f ca="1">'Price Data'!I25</f>
        <v>72.63</v>
      </c>
      <c r="Q27" s="25">
        <f t="shared" ca="1" si="6"/>
        <v>3.6739970628970532E-2</v>
      </c>
      <c r="R27" s="15" vm="717">
        <f ca="1">'Price Data'!J25</f>
        <v>142.51</v>
      </c>
      <c r="S27" s="25">
        <f t="shared" ca="1" si="7"/>
        <v>0.16296068853160278</v>
      </c>
      <c r="T27" s="15" vm="718">
        <f ca="1">'Price Data'!K25</f>
        <v>29.9666</v>
      </c>
      <c r="U27" s="25">
        <f t="shared" ca="1" si="8"/>
        <v>-2.9522628229096252E-3</v>
      </c>
      <c r="V27" s="15" vm="719">
        <f ca="1">'Price Data'!L25</f>
        <v>216.46</v>
      </c>
      <c r="W27" s="25">
        <f t="shared" ca="1" si="9"/>
        <v>0.27705165910287505</v>
      </c>
      <c r="X27" s="15" vm="720">
        <f ca="1">'Price Data'!M25</f>
        <v>362.09</v>
      </c>
      <c r="Y27" s="25">
        <f t="shared" ca="1" si="10"/>
        <v>0.11315747181717094</v>
      </c>
      <c r="Z27" s="15" vm="721">
        <f ca="1">'Price Data'!N25</f>
        <v>94.51</v>
      </c>
      <c r="AA27" s="25">
        <f t="shared" ca="1" si="11"/>
        <v>-1.1990046879297183E-2</v>
      </c>
      <c r="AB27" s="15" vm="722">
        <f ca="1">'Price Data'!O25</f>
        <v>105.1705</v>
      </c>
      <c r="AC27" s="25">
        <f t="shared" ca="1" si="12"/>
        <v>0.12959873142838188</v>
      </c>
      <c r="AD27" s="15" vm="723">
        <f ca="1">'Price Data'!P25</f>
        <v>110.81</v>
      </c>
      <c r="AE27" s="25">
        <f t="shared" ca="1" si="13"/>
        <v>0.23835201912551779</v>
      </c>
      <c r="AF27" s="15" vm="724">
        <f ca="1">'Price Data'!Q25</f>
        <v>88.04</v>
      </c>
      <c r="AG27" s="25">
        <f t="shared" ca="1" si="14"/>
        <v>9.1897110457890036E-2</v>
      </c>
      <c r="AH27" s="15" vm="725">
        <f ca="1">'Price Data'!R25</f>
        <v>138.29</v>
      </c>
      <c r="AI27" s="25">
        <f t="shared" ca="1" si="15"/>
        <v>0.15182735100637079</v>
      </c>
      <c r="AJ27" s="15" vm="726">
        <f ca="1">'Price Data'!S25</f>
        <v>153.34</v>
      </c>
      <c r="AK27" s="25">
        <f t="shared" ca="1" si="16"/>
        <v>0.10395576679717891</v>
      </c>
      <c r="AL27" s="15" vm="727">
        <f ca="1">'Price Data'!T25</f>
        <v>296.13</v>
      </c>
      <c r="AM27" s="25">
        <f t="shared" ca="1" si="17"/>
        <v>7.0615096318018822E-2</v>
      </c>
      <c r="AN27" s="15" vm="48">
        <f ca="1">'Price Data'!U25</f>
        <v>125.88</v>
      </c>
      <c r="AO27" s="25">
        <f t="shared" ca="1" si="18"/>
        <v>0.18614200079134038</v>
      </c>
      <c r="AP27" s="15" vm="728">
        <f ca="1">'Price Data'!V25</f>
        <v>105.19</v>
      </c>
      <c r="AQ27" s="25">
        <f t="shared" ca="1" si="19"/>
        <v>0.20398235966244832</v>
      </c>
      <c r="AR27" s="15" vm="729">
        <f ca="1">'Price Data'!W25</f>
        <v>18.23</v>
      </c>
      <c r="AS27" s="25">
        <f t="shared" ca="1" si="20"/>
        <v>0.17260479275146151</v>
      </c>
      <c r="AT27" s="15" vm="730">
        <f ca="1">'Price Data'!X25</f>
        <v>47.29</v>
      </c>
      <c r="AU27" s="25">
        <f t="shared" ca="1" si="21"/>
        <v>7.7807243852160979E-2</v>
      </c>
      <c r="AV27" s="15" vm="731">
        <f ca="1">'Price Data'!Y25</f>
        <v>46.55</v>
      </c>
      <c r="AW27" s="25">
        <f t="shared" ca="1" si="22"/>
        <v>6.1806845609350243E-2</v>
      </c>
      <c r="AX27" s="15" vm="732">
        <f ca="1">'Price Data'!Z25</f>
        <v>328.18</v>
      </c>
      <c r="AY27" s="25">
        <f t="shared" ca="1" si="23"/>
        <v>0.14339153313945255</v>
      </c>
      <c r="AZ27" s="15" vm="733">
        <f ca="1">'Price Data'!AA25</f>
        <v>232.13</v>
      </c>
      <c r="BA27" s="25">
        <f t="shared" ca="1" si="24"/>
        <v>-3.311617330939843E-3</v>
      </c>
      <c r="BB27" s="15" vm="734">
        <f ca="1">'Price Data'!AB25</f>
        <v>118.25</v>
      </c>
      <c r="BC27" s="25">
        <f t="shared" ca="1" si="25"/>
        <v>0.10615951929584989</v>
      </c>
      <c r="BD27" s="15" vm="735">
        <f ca="1">'Price Data'!AC25</f>
        <v>47.442900000000002</v>
      </c>
      <c r="BE27" s="25">
        <f t="shared" ca="1" si="26"/>
        <v>9.29251031955904E-2</v>
      </c>
      <c r="BF27" s="15" vm="736">
        <f ca="1">'Price Data'!AD25</f>
        <v>59.85</v>
      </c>
      <c r="BG27" s="25">
        <f t="shared" ca="1" si="27"/>
        <v>6.6132662172019629E-2</v>
      </c>
      <c r="BH27" s="15" vm="737">
        <f ca="1">'Price Data'!AE25</f>
        <v>272.66000000000003</v>
      </c>
      <c r="BI27" s="25">
        <f t="shared" ca="1" si="28"/>
        <v>0.16693406225883997</v>
      </c>
      <c r="BJ27" s="15" vm="738">
        <f ca="1">'Price Data'!AF25</f>
        <v>387.79</v>
      </c>
      <c r="BK27" s="25">
        <f t="shared" ca="1" si="29"/>
        <v>7.811697341575051E-2</v>
      </c>
    </row>
    <row r="28" spans="1:63" x14ac:dyDescent="0.25">
      <c r="A28" s="24">
        <f t="shared" ca="1" si="30"/>
        <v>44866</v>
      </c>
      <c r="B28" s="15" vm="739">
        <f ca="1">'Price Data'!B26</f>
        <v>194.7</v>
      </c>
      <c r="C28" s="25">
        <f t="shared" ca="1" si="31"/>
        <v>-0.15586613473341651</v>
      </c>
      <c r="D28" s="15" vm="740">
        <f ca="1">'Price Data'!C26</f>
        <v>59.93</v>
      </c>
      <c r="E28" s="25">
        <f t="shared" ca="1" si="0"/>
        <v>0.11574107049371567</v>
      </c>
      <c r="F28" s="15" vm="741">
        <f ca="1">'Price Data'!D26</f>
        <v>16.922999999999998</v>
      </c>
      <c r="G28" s="25">
        <f t="shared" ca="1" si="1"/>
        <v>0.22620620489880378</v>
      </c>
      <c r="H28" s="15" vm="742">
        <f ca="1">'Price Data'!E26</f>
        <v>44.17</v>
      </c>
      <c r="I28" s="25">
        <f t="shared" ca="1" si="2"/>
        <v>2.4986973320247269E-2</v>
      </c>
      <c r="J28" s="15" vm="743">
        <f ca="1">'Price Data'!F26</f>
        <v>118.1</v>
      </c>
      <c r="K28" s="25">
        <f t="shared" ca="1" si="3"/>
        <v>0.23721327818717644</v>
      </c>
      <c r="L28" s="15" vm="744">
        <f ca="1">'Price Data'!G26</f>
        <v>13.680099999999999</v>
      </c>
      <c r="M28" s="25">
        <f t="shared" ca="1" si="4"/>
        <v>3.8874284471368821E-2</v>
      </c>
      <c r="N28" s="15" vm="745">
        <f ca="1">'Price Data'!H26</f>
        <v>47.13</v>
      </c>
      <c r="O28" s="25">
        <f t="shared" ca="1" si="5"/>
        <v>9.1709625242077084E-2</v>
      </c>
      <c r="P28" s="15" vm="746">
        <f ca="1">'Price Data'!I26</f>
        <v>83.26</v>
      </c>
      <c r="Q28" s="25">
        <f t="shared" ca="1" si="6"/>
        <v>0.13659018214875268</v>
      </c>
      <c r="R28" s="15" vm="747">
        <f ca="1">'Price Data'!J26</f>
        <v>178.88</v>
      </c>
      <c r="S28" s="25">
        <f t="shared" ca="1" si="7"/>
        <v>0.22730301728161362</v>
      </c>
      <c r="T28" s="15" vm="748">
        <f ca="1">'Price Data'!K26</f>
        <v>32.539200000000001</v>
      </c>
      <c r="U28" s="25">
        <f t="shared" ca="1" si="8"/>
        <v>8.2362088249788065E-2</v>
      </c>
      <c r="V28" s="15" vm="749">
        <f ca="1">'Price Data'!L26</f>
        <v>236.41</v>
      </c>
      <c r="W28" s="25">
        <f t="shared" ca="1" si="9"/>
        <v>8.8161812954705918E-2</v>
      </c>
      <c r="X28" s="15" vm="750">
        <f ca="1">'Price Data'!M26</f>
        <v>371.08</v>
      </c>
      <c r="Y28" s="25">
        <f t="shared" ca="1" si="10"/>
        <v>2.4524873075297809E-2</v>
      </c>
      <c r="Z28" s="15" vm="751">
        <f ca="1">'Price Data'!N26</f>
        <v>100.99</v>
      </c>
      <c r="AA28" s="25">
        <f t="shared" ca="1" si="11"/>
        <v>6.6315853031500768E-2</v>
      </c>
      <c r="AB28" s="15" vm="752">
        <f ca="1">'Price Data'!O26</f>
        <v>105.321</v>
      </c>
      <c r="AC28" s="25">
        <f t="shared" ca="1" si="12"/>
        <v>1.4299867276918712E-3</v>
      </c>
      <c r="AD28" s="15" vm="753">
        <f ca="1">'Price Data'!P26</f>
        <v>111.34</v>
      </c>
      <c r="AE28" s="25">
        <f t="shared" ca="1" si="13"/>
        <v>4.7715598071276961E-3</v>
      </c>
      <c r="AF28" s="15" vm="754">
        <f ca="1">'Price Data'!Q26</f>
        <v>92.99</v>
      </c>
      <c r="AG28" s="25">
        <f t="shared" ca="1" si="14"/>
        <v>5.4700703831844902E-2</v>
      </c>
      <c r="AH28" s="15" vm="755">
        <f ca="1">'Price Data'!R26</f>
        <v>148.9</v>
      </c>
      <c r="AI28" s="25">
        <f t="shared" ca="1" si="15"/>
        <v>7.3922010213396408E-2</v>
      </c>
      <c r="AJ28" s="15" vm="756">
        <f ca="1">'Price Data'!S26</f>
        <v>148.03</v>
      </c>
      <c r="AK28" s="25">
        <f t="shared" ca="1" si="16"/>
        <v>-3.524272220534766E-2</v>
      </c>
      <c r="AL28" s="15" vm="757">
        <f ca="1">'Price Data'!T26</f>
        <v>323.99</v>
      </c>
      <c r="AM28" s="25">
        <f t="shared" ca="1" si="17"/>
        <v>8.9914104020583127E-2</v>
      </c>
      <c r="AN28" s="15" vm="758">
        <f ca="1">'Price Data'!U26</f>
        <v>138.18</v>
      </c>
      <c r="AO28" s="25">
        <f t="shared" ca="1" si="18"/>
        <v>9.3228110864442743E-2</v>
      </c>
      <c r="AP28" s="15" vm="759">
        <f ca="1">'Price Data'!V26</f>
        <v>108.03</v>
      </c>
      <c r="AQ28" s="25">
        <f t="shared" ca="1" si="19"/>
        <v>2.6640727577710809E-2</v>
      </c>
      <c r="AR28" s="15" vm="760">
        <f ca="1">'Price Data'!W26</f>
        <v>19.28</v>
      </c>
      <c r="AS28" s="25">
        <f t="shared" ca="1" si="20"/>
        <v>5.5999700491827897E-2</v>
      </c>
      <c r="AT28" s="15" vm="761">
        <f ca="1">'Price Data'!X26</f>
        <v>49.19</v>
      </c>
      <c r="AU28" s="25">
        <f t="shared" ca="1" si="21"/>
        <v>3.9391494151464035E-2</v>
      </c>
      <c r="AV28" s="15" vm="762">
        <f ca="1">'Price Data'!Y26</f>
        <v>50.13</v>
      </c>
      <c r="AW28" s="25">
        <f t="shared" ca="1" si="22"/>
        <v>7.4092627552336171E-2</v>
      </c>
      <c r="AX28" s="15" vm="763">
        <f ca="1">'Price Data'!Z26</f>
        <v>356.4</v>
      </c>
      <c r="AY28" s="25">
        <f t="shared" ca="1" si="23"/>
        <v>8.2491457249649819E-2</v>
      </c>
      <c r="AZ28" s="15" vm="764">
        <f ca="1">'Price Data'!AA26</f>
        <v>255.14</v>
      </c>
      <c r="BA28" s="25">
        <f t="shared" ca="1" si="24"/>
        <v>9.451485455078841E-2</v>
      </c>
      <c r="BB28" s="15" vm="765">
        <f ca="1">'Price Data'!AB26</f>
        <v>128.66</v>
      </c>
      <c r="BC28" s="25">
        <f t="shared" ca="1" si="25"/>
        <v>8.4372238610811848E-2</v>
      </c>
      <c r="BD28" s="15" vm="766">
        <f ca="1">'Price Data'!AC26</f>
        <v>50.806199999999997</v>
      </c>
      <c r="BE28" s="25">
        <f t="shared" ca="1" si="26"/>
        <v>6.8491511712025263E-2</v>
      </c>
      <c r="BF28" s="15" vm="767">
        <f ca="1">'Price Data'!AD26</f>
        <v>63.61</v>
      </c>
      <c r="BG28" s="25">
        <f t="shared" ca="1" si="27"/>
        <v>6.0929258686730665E-2</v>
      </c>
      <c r="BH28" s="15" vm="768">
        <f ca="1">'Price Data'!AE26</f>
        <v>272.79000000000002</v>
      </c>
      <c r="BI28" s="25">
        <f t="shared" ca="1" si="28"/>
        <v>4.7667064794752913E-4</v>
      </c>
      <c r="BJ28" s="15" vm="769">
        <f ca="1">'Price Data'!AF26</f>
        <v>409.32</v>
      </c>
      <c r="BK28" s="25">
        <f t="shared" ca="1" si="29"/>
        <v>5.4033290230360631E-2</v>
      </c>
    </row>
    <row r="29" spans="1:63" x14ac:dyDescent="0.25">
      <c r="A29" s="24">
        <f t="shared" ca="1" si="30"/>
        <v>44896</v>
      </c>
      <c r="B29" s="15" vm="770">
        <f ca="1">'Price Data'!B27</f>
        <v>123.18</v>
      </c>
      <c r="C29" s="25">
        <f t="shared" ca="1" si="31"/>
        <v>-0.45781321211925669</v>
      </c>
      <c r="D29" s="15" vm="771">
        <f ca="1">'Price Data'!C27</f>
        <v>49.43</v>
      </c>
      <c r="E29" s="25">
        <f t="shared" ca="1" si="0"/>
        <v>-0.19261968715122596</v>
      </c>
      <c r="F29" s="15" vm="772">
        <f ca="1">'Price Data'!D27</f>
        <v>14.614000000000001</v>
      </c>
      <c r="G29" s="25">
        <f t="shared" ca="1" si="1"/>
        <v>-0.14669367005692255</v>
      </c>
      <c r="H29" s="15" vm="773">
        <f ca="1">'Price Data'!E27</f>
        <v>37.700000000000003</v>
      </c>
      <c r="I29" s="25">
        <f t="shared" ca="1" si="2"/>
        <v>-0.15838573115446994</v>
      </c>
      <c r="J29" s="15" vm="774">
        <f ca="1">'Price Data'!F27</f>
        <v>120.34</v>
      </c>
      <c r="K29" s="25">
        <f t="shared" ca="1" si="3"/>
        <v>1.87893465888892E-2</v>
      </c>
      <c r="L29" s="15" vm="775">
        <f ca="1">'Price Data'!G27</f>
        <v>11.446</v>
      </c>
      <c r="M29" s="25">
        <f t="shared" ca="1" si="4"/>
        <v>-0.17830189812229688</v>
      </c>
      <c r="N29" s="15" vm="776">
        <f ca="1">'Price Data'!H27</f>
        <v>41.6</v>
      </c>
      <c r="O29" s="25">
        <f t="shared" ca="1" si="5"/>
        <v>-0.12480957366842194</v>
      </c>
      <c r="P29" s="15" vm="777">
        <f ca="1">'Price Data'!I27</f>
        <v>82.31</v>
      </c>
      <c r="Q29" s="25">
        <f t="shared" ca="1" si="6"/>
        <v>-1.1475634782276809E-2</v>
      </c>
      <c r="R29" s="15" vm="778">
        <f ca="1">'Price Data'!J27</f>
        <v>190.49</v>
      </c>
      <c r="S29" s="25">
        <f t="shared" ca="1" si="7"/>
        <v>6.2884509783872444E-2</v>
      </c>
      <c r="T29" s="15" vm="779">
        <f ca="1">'Price Data'!K27</f>
        <v>27.7498</v>
      </c>
      <c r="U29" s="25">
        <f t="shared" ca="1" si="8"/>
        <v>-0.15921688340340953</v>
      </c>
      <c r="V29" s="15" vm="225">
        <f ca="1">'Price Data'!L27</f>
        <v>239.56</v>
      </c>
      <c r="W29" s="25">
        <f t="shared" ca="1" si="9"/>
        <v>1.3236321574555268E-2</v>
      </c>
      <c r="X29" s="15" vm="780">
        <f ca="1">'Price Data'!M27</f>
        <v>365.84</v>
      </c>
      <c r="Y29" s="25">
        <f t="shared" ca="1" si="10"/>
        <v>-1.4221593435271076E-2</v>
      </c>
      <c r="Z29" s="15" vm="781">
        <f ca="1">'Price Data'!N27</f>
        <v>88.23</v>
      </c>
      <c r="AA29" s="25">
        <f t="shared" ca="1" si="11"/>
        <v>-0.13507446080445215</v>
      </c>
      <c r="AB29" s="15" vm="782">
        <f ca="1">'Price Data'!O27</f>
        <v>100.2627</v>
      </c>
      <c r="AC29" s="25">
        <f t="shared" ca="1" si="12"/>
        <v>-4.9219088001002748E-2</v>
      </c>
      <c r="AD29" s="15" vm="783">
        <f ca="1">'Price Data'!P27</f>
        <v>110.3</v>
      </c>
      <c r="AE29" s="25">
        <f t="shared" ca="1" si="13"/>
        <v>-9.3846564959050322E-3</v>
      </c>
      <c r="AF29" s="15" vm="784">
        <f ca="1">'Price Data'!Q27</f>
        <v>92.29</v>
      </c>
      <c r="AG29" s="25">
        <f t="shared" ca="1" si="14"/>
        <v>-7.5561672126204333E-3</v>
      </c>
      <c r="AH29" s="15" vm="785">
        <f ca="1">'Price Data'!R27</f>
        <v>140.88999999999999</v>
      </c>
      <c r="AI29" s="25">
        <f t="shared" ca="1" si="15"/>
        <v>-5.5295495624778083E-2</v>
      </c>
      <c r="AJ29" s="15" vm="786">
        <f ca="1">'Price Data'!S27</f>
        <v>129.93</v>
      </c>
      <c r="AK29" s="25">
        <f t="shared" ca="1" si="16"/>
        <v>-0.13041911203075576</v>
      </c>
      <c r="AL29" s="15" vm="787">
        <f ca="1">'Price Data'!T27</f>
        <v>315.86</v>
      </c>
      <c r="AM29" s="25">
        <f t="shared" ca="1" si="17"/>
        <v>-2.5413573676580817E-2</v>
      </c>
      <c r="AN29" s="15" vm="788">
        <f ca="1">'Price Data'!U27</f>
        <v>134.1</v>
      </c>
      <c r="AO29" s="25">
        <f t="shared" ca="1" si="18"/>
        <v>-2.9971392773016043E-2</v>
      </c>
      <c r="AP29" s="15" vm="789">
        <f ca="1">'Price Data'!V27</f>
        <v>99.46</v>
      </c>
      <c r="AQ29" s="25">
        <f t="shared" ca="1" si="19"/>
        <v>-8.2653413042301088E-2</v>
      </c>
      <c r="AR29" s="15" vm="790">
        <f ca="1">'Price Data'!W27</f>
        <v>18.41</v>
      </c>
      <c r="AS29" s="25">
        <f t="shared" ca="1" si="20"/>
        <v>-4.6174293937413131E-2</v>
      </c>
      <c r="AT29" s="15" vm="791">
        <f ca="1">'Price Data'!X27</f>
        <v>44.58</v>
      </c>
      <c r="AU29" s="25">
        <f t="shared" ca="1" si="21"/>
        <v>-9.8405022849525611E-2</v>
      </c>
      <c r="AV29" s="15" vm="792">
        <f ca="1">'Price Data'!Y27</f>
        <v>51.24</v>
      </c>
      <c r="AW29" s="25">
        <f t="shared" ca="1" si="22"/>
        <v>2.1900845753121345E-2</v>
      </c>
      <c r="AX29" s="15" vm="793">
        <f ca="1">'Price Data'!Z27</f>
        <v>347.73</v>
      </c>
      <c r="AY29" s="25">
        <f t="shared" ca="1" si="23"/>
        <v>-2.4627379027890781E-2</v>
      </c>
      <c r="AZ29" s="15" vm="794">
        <f ca="1">'Price Data'!AA27</f>
        <v>239.82</v>
      </c>
      <c r="BA29" s="25">
        <f t="shared" ca="1" si="24"/>
        <v>-6.1923772158856805E-2</v>
      </c>
      <c r="BB29" s="15" vm="795">
        <f ca="1">'Price Data'!AB27</f>
        <v>128.08000000000001</v>
      </c>
      <c r="BC29" s="25">
        <f t="shared" ca="1" si="25"/>
        <v>-4.5181972943948972E-3</v>
      </c>
      <c r="BD29" s="15" vm="796">
        <f ca="1">'Price Data'!AC27</f>
        <v>47.262900000000002</v>
      </c>
      <c r="BE29" s="25">
        <f t="shared" ca="1" si="26"/>
        <v>-7.2292761830655541E-2</v>
      </c>
      <c r="BF29" s="15" vm="767">
        <f ca="1">'Price Data'!AD27</f>
        <v>63.61</v>
      </c>
      <c r="BG29" s="25">
        <f t="shared" ca="1" si="27"/>
        <v>0</v>
      </c>
      <c r="BH29" s="15" vm="797">
        <f ca="1">'Price Data'!AE27</f>
        <v>263.52999999999997</v>
      </c>
      <c r="BI29" s="25">
        <f t="shared" ca="1" si="28"/>
        <v>-3.4535054912750704E-2</v>
      </c>
      <c r="BJ29" s="15" vm="798">
        <f ca="1">'Price Data'!AF27</f>
        <v>384.21</v>
      </c>
      <c r="BK29" s="25">
        <f t="shared" ca="1" si="29"/>
        <v>-6.3307968112464655E-2</v>
      </c>
    </row>
    <row r="30" spans="1:63" x14ac:dyDescent="0.25">
      <c r="A30" s="24">
        <f t="shared" ca="1" si="30"/>
        <v>44927</v>
      </c>
      <c r="B30" s="15" vm="799">
        <f ca="1">'Price Data'!B28</f>
        <v>173.22</v>
      </c>
      <c r="C30" s="25">
        <f t="shared" ca="1" si="31"/>
        <v>0.34091576264400142</v>
      </c>
      <c r="D30" s="15" vm="800">
        <f ca="1">'Price Data'!C28</f>
        <v>64.94</v>
      </c>
      <c r="E30" s="25">
        <f t="shared" ca="1" si="0"/>
        <v>0.27290623935583191</v>
      </c>
      <c r="F30" s="15" vm="801">
        <f ca="1">'Price Data'!D28</f>
        <v>19.536999999999999</v>
      </c>
      <c r="G30" s="25">
        <f t="shared" ca="1" si="1"/>
        <v>0.29033013024047233</v>
      </c>
      <c r="H30" s="15" vm="802">
        <f ca="1">'Price Data'!E28</f>
        <v>48.96</v>
      </c>
      <c r="I30" s="25">
        <f t="shared" ca="1" si="2"/>
        <v>0.26134354375010554</v>
      </c>
      <c r="J30" s="15" vm="803">
        <f ca="1">'Price Data'!F28</f>
        <v>148.97</v>
      </c>
      <c r="K30" s="25">
        <f t="shared" ca="1" si="3"/>
        <v>0.2134238735992959</v>
      </c>
      <c r="L30" s="15" vm="804">
        <f ca="1">'Price Data'!G28</f>
        <v>13.2963</v>
      </c>
      <c r="M30" s="25">
        <f t="shared" ca="1" si="4"/>
        <v>0.14984547704853249</v>
      </c>
      <c r="N30" s="15" vm="300">
        <f ca="1">'Price Data'!H28</f>
        <v>46.03</v>
      </c>
      <c r="O30" s="25">
        <f t="shared" ca="1" si="5"/>
        <v>0.10119319056193248</v>
      </c>
      <c r="P30" s="15" vm="805">
        <f ca="1">'Price Data'!I28</f>
        <v>89.69</v>
      </c>
      <c r="Q30" s="25">
        <f t="shared" ca="1" si="6"/>
        <v>8.5866673145359007E-2</v>
      </c>
      <c r="R30" s="15" vm="806">
        <f ca="1">'Price Data'!J28</f>
        <v>213</v>
      </c>
      <c r="S30" s="25">
        <f t="shared" ca="1" si="7"/>
        <v>0.11169246595881836</v>
      </c>
      <c r="T30" s="15" vm="807">
        <f ca="1">'Price Data'!K28</f>
        <v>32.927599999999998</v>
      </c>
      <c r="U30" s="25">
        <f t="shared" ca="1" si="8"/>
        <v>0.17108257890236137</v>
      </c>
      <c r="V30" s="15" vm="808">
        <f ca="1">'Price Data'!L28</f>
        <v>252.29</v>
      </c>
      <c r="W30" s="25">
        <f t="shared" ca="1" si="9"/>
        <v>5.1775312110512596E-2</v>
      </c>
      <c r="X30" s="15" vm="809">
        <f ca="1">'Price Data'!M28</f>
        <v>344.15</v>
      </c>
      <c r="Y30" s="25">
        <f t="shared" ca="1" si="10"/>
        <v>-6.1118470505426549E-2</v>
      </c>
      <c r="Z30" s="15" vm="810">
        <f ca="1">'Price Data'!N28</f>
        <v>98.84</v>
      </c>
      <c r="AA30" s="25">
        <f t="shared" ca="1" si="11"/>
        <v>0.11355533988639598</v>
      </c>
      <c r="AB30" s="15" vm="811">
        <f ca="1">'Price Data'!O28</f>
        <v>96.216099999999997</v>
      </c>
      <c r="AC30" s="25">
        <f t="shared" ca="1" si="12"/>
        <v>-4.1197038118844828E-2</v>
      </c>
      <c r="AD30" s="15" vm="812">
        <f ca="1">'Price Data'!P28</f>
        <v>116.01</v>
      </c>
      <c r="AE30" s="25">
        <f t="shared" ca="1" si="13"/>
        <v>5.047246802785877E-2</v>
      </c>
      <c r="AF30" s="15" vm="813">
        <f ca="1">'Price Data'!Q28</f>
        <v>98.88</v>
      </c>
      <c r="AG30" s="25">
        <f t="shared" ca="1" si="14"/>
        <v>6.8971200431895169E-2</v>
      </c>
      <c r="AH30" s="15" vm="814">
        <f ca="1">'Price Data'!R28</f>
        <v>134.72999999999999</v>
      </c>
      <c r="AI30" s="25">
        <f t="shared" ca="1" si="15"/>
        <v>-4.4706668297428934E-2</v>
      </c>
      <c r="AJ30" s="15" vm="815">
        <f ca="1">'Price Data'!S28</f>
        <v>144.29</v>
      </c>
      <c r="AK30" s="25">
        <f t="shared" ca="1" si="16"/>
        <v>0.1048293194145192</v>
      </c>
      <c r="AL30" s="15" vm="816">
        <f ca="1">'Price Data'!T28</f>
        <v>324.17</v>
      </c>
      <c r="AM30" s="25">
        <f t="shared" ca="1" si="17"/>
        <v>2.5968992106065344E-2</v>
      </c>
      <c r="AN30" s="15" vm="817">
        <f ca="1">'Price Data'!U28</f>
        <v>139.96</v>
      </c>
      <c r="AO30" s="25">
        <f t="shared" ca="1" si="18"/>
        <v>4.277087721185463E-2</v>
      </c>
      <c r="AP30" s="15" vm="818">
        <f ca="1">'Price Data'!V28</f>
        <v>104.94</v>
      </c>
      <c r="AQ30" s="25">
        <f t="shared" ca="1" si="19"/>
        <v>5.3633204971973186E-2</v>
      </c>
      <c r="AR30" s="15" vm="819">
        <f ca="1">'Price Data'!W28</f>
        <v>20.37</v>
      </c>
      <c r="AS30" s="25">
        <f t="shared" ca="1" si="20"/>
        <v>0.10116923499372799</v>
      </c>
      <c r="AT30" s="15" vm="820">
        <f ca="1">'Price Data'!X28</f>
        <v>44.63</v>
      </c>
      <c r="AU30" s="25">
        <f t="shared" ca="1" si="21"/>
        <v>1.1209506834558161E-3</v>
      </c>
      <c r="AV30" s="15" vm="821">
        <f ca="1">'Price Data'!Y28</f>
        <v>44.16</v>
      </c>
      <c r="AW30" s="25">
        <f t="shared" ca="1" si="22"/>
        <v>-0.14870107505969379</v>
      </c>
      <c r="AX30" s="15" vm="822">
        <f ca="1">'Price Data'!Z28</f>
        <v>370.6</v>
      </c>
      <c r="AY30" s="25">
        <f t="shared" ca="1" si="23"/>
        <v>6.3696997282496018E-2</v>
      </c>
      <c r="AZ30" s="15" vm="823">
        <f ca="1">'Price Data'!AA28</f>
        <v>247.81</v>
      </c>
      <c r="BA30" s="25">
        <f t="shared" ca="1" si="24"/>
        <v>3.2773681554609704E-2</v>
      </c>
      <c r="BB30" s="15" vm="824">
        <f ca="1">'Price Data'!AB28</f>
        <v>130.51</v>
      </c>
      <c r="BC30" s="25">
        <f t="shared" ca="1" si="25"/>
        <v>1.8794783490976824E-2</v>
      </c>
      <c r="BD30" s="15" vm="825">
        <f ca="1">'Price Data'!AC28</f>
        <v>47.956200000000003</v>
      </c>
      <c r="BE30" s="25">
        <f t="shared" ca="1" si="26"/>
        <v>1.4562461775610189E-2</v>
      </c>
      <c r="BF30" s="15" vm="826">
        <f ca="1">'Price Data'!AD28</f>
        <v>61.32</v>
      </c>
      <c r="BG30" s="25">
        <f t="shared" ca="1" si="27"/>
        <v>-3.6664636687099482E-2</v>
      </c>
      <c r="BH30" s="15" vm="827">
        <f ca="1">'Price Data'!AE28</f>
        <v>267.39999999999998</v>
      </c>
      <c r="BI30" s="25">
        <f t="shared" ca="1" si="28"/>
        <v>1.4578451174662182E-2</v>
      </c>
      <c r="BJ30" s="15" vm="828">
        <f ca="1">'Price Data'!AF28</f>
        <v>408.31</v>
      </c>
      <c r="BK30" s="25">
        <f t="shared" ca="1" si="29"/>
        <v>6.0837411714769481E-2</v>
      </c>
    </row>
    <row r="31" spans="1:63" x14ac:dyDescent="0.25">
      <c r="A31" s="24">
        <f t="shared" ca="1" si="30"/>
        <v>44958</v>
      </c>
      <c r="B31" s="15" vm="829">
        <f ca="1">'Price Data'!B29</f>
        <v>205.71</v>
      </c>
      <c r="C31" s="25">
        <f t="shared" ca="1" si="31"/>
        <v>0.17190494706148407</v>
      </c>
      <c r="D31" s="15" vm="830">
        <f ca="1">'Price Data'!C29</f>
        <v>70.64</v>
      </c>
      <c r="E31" s="25">
        <f t="shared" ca="1" si="0"/>
        <v>8.4132789621004803E-2</v>
      </c>
      <c r="F31" s="15" vm="831">
        <f ca="1">'Price Data'!D29</f>
        <v>23.216000000000001</v>
      </c>
      <c r="G31" s="25">
        <f t="shared" ca="1" si="1"/>
        <v>0.17253159253233377</v>
      </c>
      <c r="H31" s="15" vm="832">
        <f ca="1">'Price Data'!E29</f>
        <v>51.96</v>
      </c>
      <c r="I31" s="25">
        <f t="shared" ca="1" si="2"/>
        <v>5.9470553598328153E-2</v>
      </c>
      <c r="J31" s="15" vm="833">
        <f ca="1">'Price Data'!F29</f>
        <v>174.94</v>
      </c>
      <c r="K31" s="25">
        <f t="shared" ca="1" si="3"/>
        <v>0.16069811460020728</v>
      </c>
      <c r="L31" s="15" vm="834">
        <f ca="1">'Price Data'!G29</f>
        <v>11.879099999999999</v>
      </c>
      <c r="M31" s="25">
        <f t="shared" ca="1" si="4"/>
        <v>-0.11270524754645188</v>
      </c>
      <c r="N31" s="15" vm="835">
        <f ca="1">'Price Data'!H29</f>
        <v>47.55</v>
      </c>
      <c r="O31" s="25">
        <f t="shared" ca="1" si="5"/>
        <v>3.2488431162249268E-2</v>
      </c>
      <c r="P31" s="15" vm="836">
        <f ca="1">'Price Data'!I29</f>
        <v>83.95</v>
      </c>
      <c r="Q31" s="25">
        <f t="shared" ca="1" si="6"/>
        <v>-6.6137896606361865E-2</v>
      </c>
      <c r="R31" s="15" vm="837">
        <f ca="1">'Price Data'!J29</f>
        <v>201.55</v>
      </c>
      <c r="S31" s="25">
        <f t="shared" ca="1" si="7"/>
        <v>-5.5254676146250285E-2</v>
      </c>
      <c r="T31" s="15" vm="838">
        <f ca="1">'Price Data'!K29</f>
        <v>29.8216</v>
      </c>
      <c r="U31" s="25">
        <f t="shared" ca="1" si="8"/>
        <v>-9.9078248699502589E-2</v>
      </c>
      <c r="V31" s="15" vm="839">
        <f ca="1">'Price Data'!L29</f>
        <v>239.55</v>
      </c>
      <c r="W31" s="25">
        <f t="shared" ca="1" si="9"/>
        <v>-5.1817056177643032E-2</v>
      </c>
      <c r="X31" s="15" vm="840">
        <f ca="1">'Price Data'!M29</f>
        <v>311.22000000000003</v>
      </c>
      <c r="Y31" s="25">
        <f t="shared" ca="1" si="10"/>
        <v>-0.10057755125300921</v>
      </c>
      <c r="Z31" s="15" vm="841">
        <f ca="1">'Price Data'!N29</f>
        <v>90.06</v>
      </c>
      <c r="AA31" s="25">
        <f t="shared" ca="1" si="11"/>
        <v>-9.3026266246983749E-2</v>
      </c>
      <c r="AB31" s="15" vm="842">
        <f ca="1">'Price Data'!O29</f>
        <v>90.079300000000003</v>
      </c>
      <c r="AC31" s="25">
        <f t="shared" ca="1" si="12"/>
        <v>-6.5906309845104261E-2</v>
      </c>
      <c r="AD31" s="15" vm="843">
        <f ca="1">'Price Data'!P29</f>
        <v>109.91</v>
      </c>
      <c r="AE31" s="25">
        <f t="shared" ca="1" si="13"/>
        <v>-5.401454520650651E-2</v>
      </c>
      <c r="AF31" s="15" vm="844">
        <f ca="1">'Price Data'!Q29</f>
        <v>98.13</v>
      </c>
      <c r="AG31" s="25">
        <f t="shared" ca="1" si="14"/>
        <v>-7.6138634909783901E-3</v>
      </c>
      <c r="AH31" s="15" vm="845">
        <f ca="1">'Price Data'!R29</f>
        <v>129.30000000000001</v>
      </c>
      <c r="AI31" s="25">
        <f t="shared" ca="1" si="15"/>
        <v>-4.1137489989944397E-2</v>
      </c>
      <c r="AJ31" s="15" vm="846">
        <f ca="1">'Price Data'!S29</f>
        <v>147.41</v>
      </c>
      <c r="AK31" s="25">
        <f t="shared" ca="1" si="16"/>
        <v>2.1392656750022429E-2</v>
      </c>
      <c r="AL31" s="15" vm="847">
        <f ca="1">'Price Data'!T29</f>
        <v>296.54000000000002</v>
      </c>
      <c r="AM31" s="25">
        <f t="shared" ca="1" si="17"/>
        <v>-8.908595295809385E-2</v>
      </c>
      <c r="AN31" s="15" vm="848">
        <f ca="1">'Price Data'!U29</f>
        <v>143.35</v>
      </c>
      <c r="AO31" s="25">
        <f t="shared" ca="1" si="18"/>
        <v>2.3932524829891395E-2</v>
      </c>
      <c r="AP31" s="15" vm="849">
        <f ca="1">'Price Data'!V29</f>
        <v>100</v>
      </c>
      <c r="AQ31" s="25">
        <f t="shared" ca="1" si="19"/>
        <v>-4.8218572270474262E-2</v>
      </c>
      <c r="AR31" s="15" vm="850">
        <f ca="1">'Price Data'!W29</f>
        <v>18.91</v>
      </c>
      <c r="AS31" s="25">
        <f t="shared" ca="1" si="20"/>
        <v>-7.4372347568348415E-2</v>
      </c>
      <c r="AT31" s="15" vm="851">
        <f ca="1">'Price Data'!X29</f>
        <v>43.14</v>
      </c>
      <c r="AU31" s="25">
        <f t="shared" ca="1" si="21"/>
        <v>-3.3955637680168321E-2</v>
      </c>
      <c r="AV31" s="15" vm="852">
        <f ca="1">'Price Data'!Y29</f>
        <v>40.57</v>
      </c>
      <c r="AW31" s="25">
        <f t="shared" ca="1" si="22"/>
        <v>-8.4790524750483931E-2</v>
      </c>
      <c r="AX31" s="15" vm="853">
        <f ca="1">'Price Data'!Z29</f>
        <v>355.29</v>
      </c>
      <c r="AY31" s="25">
        <f t="shared" ca="1" si="23"/>
        <v>-4.218895644974606E-2</v>
      </c>
      <c r="AZ31" s="15" vm="854">
        <f ca="1">'Price Data'!AA29</f>
        <v>249.42</v>
      </c>
      <c r="BA31" s="25">
        <f t="shared" ca="1" si="24"/>
        <v>6.4758989867041514E-3</v>
      </c>
      <c r="BB31" s="15" vm="855">
        <f ca="1">'Price Data'!AB29</f>
        <v>127.16</v>
      </c>
      <c r="BC31" s="25">
        <f t="shared" ca="1" si="25"/>
        <v>-2.6003716136834283E-2</v>
      </c>
      <c r="BD31" s="15" vm="856">
        <f ca="1">'Price Data'!AC29</f>
        <v>47.376199999999997</v>
      </c>
      <c r="BE31" s="25">
        <f t="shared" ca="1" si="26"/>
        <v>-1.2168101429226785E-2</v>
      </c>
      <c r="BF31" s="15" vm="857">
        <f ca="1">'Price Data'!AD29</f>
        <v>59.51</v>
      </c>
      <c r="BG31" s="25">
        <f t="shared" ca="1" si="27"/>
        <v>-2.9961688346852693E-2</v>
      </c>
      <c r="BH31" s="15" vm="858">
        <f ca="1">'Price Data'!AE29</f>
        <v>263.91000000000003</v>
      </c>
      <c r="BI31" s="25">
        <f t="shared" ca="1" si="28"/>
        <v>-1.3137528735149792E-2</v>
      </c>
      <c r="BJ31" s="15" vm="859">
        <f ca="1">'Price Data'!AF29</f>
        <v>397.97</v>
      </c>
      <c r="BK31" s="25">
        <f t="shared" ca="1" si="29"/>
        <v>-2.5650064261823993E-2</v>
      </c>
    </row>
    <row r="32" spans="1:63" x14ac:dyDescent="0.25">
      <c r="A32" s="24">
        <f t="shared" ca="1" si="30"/>
        <v>44986</v>
      </c>
      <c r="B32" s="15" vm="860">
        <f ca="1">'Price Data'!B30</f>
        <v>207.46</v>
      </c>
      <c r="C32" s="25">
        <f t="shared" ca="1" si="31"/>
        <v>8.4711400392992759E-3</v>
      </c>
      <c r="D32" s="15" vm="861">
        <f ca="1">'Price Data'!C30</f>
        <v>65.3</v>
      </c>
      <c r="E32" s="25">
        <f t="shared" ca="1" si="0"/>
        <v>-7.8604520013319301E-2</v>
      </c>
      <c r="F32" s="15" vm="862">
        <f ca="1">'Price Data'!D30</f>
        <v>27.777000000000001</v>
      </c>
      <c r="G32" s="25">
        <f t="shared" ca="1" si="1"/>
        <v>0.17936664399218763</v>
      </c>
      <c r="H32" s="15" vm="863">
        <f ca="1">'Price Data'!E30</f>
        <v>44.25</v>
      </c>
      <c r="I32" s="25">
        <f t="shared" ca="1" si="2"/>
        <v>-0.16061882034846026</v>
      </c>
      <c r="J32" s="15" vm="864">
        <f ca="1">'Price Data'!F30</f>
        <v>211.94</v>
      </c>
      <c r="K32" s="25">
        <f t="shared" ca="1" si="3"/>
        <v>0.19186015775498103</v>
      </c>
      <c r="L32" s="15" vm="865">
        <f ca="1">'Price Data'!G30</f>
        <v>12.400700000000001</v>
      </c>
      <c r="M32" s="25">
        <f t="shared" ca="1" si="4"/>
        <v>4.2972369141571022E-2</v>
      </c>
      <c r="N32" s="15" vm="866">
        <f ca="1">'Price Data'!H30</f>
        <v>37.97</v>
      </c>
      <c r="O32" s="25">
        <f t="shared" ca="1" si="5"/>
        <v>-0.22498541474768838</v>
      </c>
      <c r="P32" s="15" vm="867">
        <f ca="1">'Price Data'!I30</f>
        <v>74.930000000000007</v>
      </c>
      <c r="Q32" s="25">
        <f t="shared" ca="1" si="6"/>
        <v>-0.11366703914733035</v>
      </c>
      <c r="R32" s="15" vm="868">
        <f ca="1">'Price Data'!J30</f>
        <v>212.43</v>
      </c>
      <c r="S32" s="25">
        <f t="shared" ca="1" si="7"/>
        <v>5.2575032768617386E-2</v>
      </c>
      <c r="T32" s="15" vm="869">
        <f ca="1">'Price Data'!K30</f>
        <v>34.165799999999997</v>
      </c>
      <c r="U32" s="25">
        <f t="shared" ca="1" si="8"/>
        <v>0.13599218057285287</v>
      </c>
      <c r="V32" s="15" vm="870">
        <f ca="1">'Price Data'!L30</f>
        <v>228.84</v>
      </c>
      <c r="W32" s="25">
        <f t="shared" ca="1" si="9"/>
        <v>-4.5739093928803126E-2</v>
      </c>
      <c r="X32" s="15" vm="871">
        <f ca="1">'Price Data'!M30</f>
        <v>343.42</v>
      </c>
      <c r="Y32" s="25">
        <f t="shared" ca="1" si="10"/>
        <v>9.8454130294292605E-2</v>
      </c>
      <c r="Z32" s="15" vm="872">
        <f ca="1">'Price Data'!N30</f>
        <v>103.73</v>
      </c>
      <c r="AA32" s="25">
        <f t="shared" ca="1" si="11"/>
        <v>0.14131525457031105</v>
      </c>
      <c r="AB32" s="15" vm="873">
        <f ca="1">'Price Data'!O30</f>
        <v>87.880399999999995</v>
      </c>
      <c r="AC32" s="25">
        <f t="shared" ca="1" si="12"/>
        <v>-2.4713594323442469E-2</v>
      </c>
      <c r="AD32" s="15" vm="874">
        <f ca="1">'Price Data'!P30</f>
        <v>109.66</v>
      </c>
      <c r="AE32" s="25">
        <f t="shared" ca="1" si="13"/>
        <v>-2.2771791049065815E-3</v>
      </c>
      <c r="AF32" s="15" vm="875">
        <f ca="1">'Price Data'!Q30</f>
        <v>100.92</v>
      </c>
      <c r="AG32" s="25">
        <f t="shared" ca="1" si="14"/>
        <v>2.8034993554454733E-2</v>
      </c>
      <c r="AH32" s="15" vm="876">
        <f ca="1">'Price Data'!R30</f>
        <v>131.09</v>
      </c>
      <c r="AI32" s="25">
        <f t="shared" ca="1" si="15"/>
        <v>1.3748824431906075E-2</v>
      </c>
      <c r="AJ32" s="15" vm="877">
        <f ca="1">'Price Data'!S30</f>
        <v>164.9</v>
      </c>
      <c r="AK32" s="25">
        <f t="shared" ca="1" si="16"/>
        <v>0.11212140950636644</v>
      </c>
      <c r="AL32" s="15" vm="878">
        <f ca="1">'Price Data'!T30</f>
        <v>295.12</v>
      </c>
      <c r="AM32" s="25">
        <f t="shared" ca="1" si="17"/>
        <v>-4.8000633014599154E-3</v>
      </c>
      <c r="AN32" s="15" vm="879">
        <f ca="1">'Price Data'!U30</f>
        <v>130.31</v>
      </c>
      <c r="AO32" s="25">
        <f t="shared" ca="1" si="18"/>
        <v>-9.5372965172564189E-2</v>
      </c>
      <c r="AP32" s="15" vm="880">
        <f ca="1">'Price Data'!V30</f>
        <v>82.74</v>
      </c>
      <c r="AQ32" s="25">
        <f t="shared" ca="1" si="19"/>
        <v>-0.18946702495482604</v>
      </c>
      <c r="AR32" s="15" vm="881">
        <f ca="1">'Price Data'!W30</f>
        <v>19.25</v>
      </c>
      <c r="AS32" s="25">
        <f t="shared" ca="1" si="20"/>
        <v>1.7820178063427096E-2</v>
      </c>
      <c r="AT32" s="15" vm="882">
        <f ca="1">'Price Data'!X30</f>
        <v>49.37</v>
      </c>
      <c r="AU32" s="25">
        <f t="shared" ca="1" si="21"/>
        <v>0.1348923113097612</v>
      </c>
      <c r="AV32" s="15" vm="883">
        <f ca="1">'Price Data'!Y30</f>
        <v>40.799999999999997</v>
      </c>
      <c r="AW32" s="25">
        <f t="shared" ca="1" si="22"/>
        <v>5.6532041917600924E-3</v>
      </c>
      <c r="AX32" s="15" vm="884">
        <f ca="1">'Price Data'!Z30</f>
        <v>363.41</v>
      </c>
      <c r="AY32" s="25">
        <f t="shared" ca="1" si="23"/>
        <v>2.2597316068573653E-2</v>
      </c>
      <c r="AZ32" s="15" vm="885">
        <f ca="1">'Price Data'!AA30</f>
        <v>288.3</v>
      </c>
      <c r="BA32" s="25">
        <f t="shared" ca="1" si="24"/>
        <v>0.14486338215175548</v>
      </c>
      <c r="BB32" s="15" vm="886">
        <f ca="1">'Price Data'!AB30</f>
        <v>132.08000000000001</v>
      </c>
      <c r="BC32" s="25">
        <f t="shared" ca="1" si="25"/>
        <v>3.7961663569270734E-2</v>
      </c>
      <c r="BD32" s="15" vm="887">
        <f ca="1">'Price Data'!AC30</f>
        <v>49.149500000000003</v>
      </c>
      <c r="BE32" s="25">
        <f t="shared" ca="1" si="26"/>
        <v>3.6746680704351845E-2</v>
      </c>
      <c r="BF32" s="15" vm="888">
        <f ca="1">'Price Data'!AD30</f>
        <v>62.03</v>
      </c>
      <c r="BG32" s="25">
        <f t="shared" ca="1" si="27"/>
        <v>4.1473773328265615E-2</v>
      </c>
      <c r="BH32" s="15" vm="889">
        <f ca="1">'Price Data'!AE30</f>
        <v>279.61</v>
      </c>
      <c r="BI32" s="25">
        <f t="shared" ca="1" si="28"/>
        <v>5.7787639166509426E-2</v>
      </c>
      <c r="BJ32" s="15" vm="890">
        <f ca="1">'Price Data'!AF30</f>
        <v>411.08</v>
      </c>
      <c r="BK32" s="25">
        <f t="shared" ca="1" si="29"/>
        <v>3.2411217197836843E-2</v>
      </c>
    </row>
    <row r="33" spans="1:63" x14ac:dyDescent="0.25">
      <c r="A33" s="24">
        <f t="shared" ca="1" si="30"/>
        <v>45017</v>
      </c>
      <c r="B33" s="15" vm="891">
        <f ca="1">'Price Data'!B31</f>
        <v>164.31</v>
      </c>
      <c r="C33" s="25">
        <f t="shared" ca="1" si="31"/>
        <v>-0.23318366253994235</v>
      </c>
      <c r="D33" s="15" vm="892">
        <f ca="1">'Price Data'!C31</f>
        <v>65.430000000000007</v>
      </c>
      <c r="E33" s="25">
        <f t="shared" ca="1" si="0"/>
        <v>1.9888325992620465E-3</v>
      </c>
      <c r="F33" s="15" vm="893">
        <f ca="1">'Price Data'!D31</f>
        <v>27.748999999999999</v>
      </c>
      <c r="G33" s="25">
        <f t="shared" ca="1" si="1"/>
        <v>-1.0085366269259064E-3</v>
      </c>
      <c r="H33" s="15" vm="894">
        <f ca="1">'Price Data'!E31</f>
        <v>43.8</v>
      </c>
      <c r="I33" s="25">
        <f t="shared" ca="1" si="2"/>
        <v>-1.0221554071538139E-2</v>
      </c>
      <c r="J33" s="15" vm="895">
        <f ca="1">'Price Data'!F31</f>
        <v>240.32</v>
      </c>
      <c r="K33" s="25">
        <f t="shared" ca="1" si="3"/>
        <v>0.12566815282907989</v>
      </c>
      <c r="L33" s="15" vm="896">
        <f ca="1">'Price Data'!G31</f>
        <v>11.6921</v>
      </c>
      <c r="M33" s="25">
        <f t="shared" ca="1" si="4"/>
        <v>-5.8839522561483941E-2</v>
      </c>
      <c r="N33" s="15" vm="897">
        <f ca="1">'Price Data'!H31</f>
        <v>37.1</v>
      </c>
      <c r="O33" s="25">
        <f t="shared" ca="1" si="5"/>
        <v>-2.3179404630321459E-2</v>
      </c>
      <c r="P33" s="15" vm="898">
        <f ca="1">'Price Data'!I31</f>
        <v>74.790000000000006</v>
      </c>
      <c r="Q33" s="25">
        <f t="shared" ca="1" si="6"/>
        <v>-1.8701581726431105E-3</v>
      </c>
      <c r="R33" s="15" vm="899">
        <f ca="1">'Price Data'!J31</f>
        <v>206.78</v>
      </c>
      <c r="S33" s="25">
        <f t="shared" ca="1" si="7"/>
        <v>-2.695709617324521E-2</v>
      </c>
      <c r="T33" s="15" vm="900">
        <f ca="1">'Price Data'!K31</f>
        <v>41.352400000000003</v>
      </c>
      <c r="U33" s="25">
        <f t="shared" ca="1" si="8"/>
        <v>0.19090531716285891</v>
      </c>
      <c r="V33" s="15" vm="901">
        <f ca="1">'Price Data'!L31</f>
        <v>218.8</v>
      </c>
      <c r="W33" s="25">
        <f t="shared" ca="1" si="9"/>
        <v>-4.486499885250185E-2</v>
      </c>
      <c r="X33" s="15" vm="902">
        <f ca="1">'Price Data'!M31</f>
        <v>395.86</v>
      </c>
      <c r="Y33" s="25">
        <f t="shared" ca="1" si="10"/>
        <v>0.14210642550693256</v>
      </c>
      <c r="Z33" s="15" vm="903">
        <f ca="1">'Price Data'!N31</f>
        <v>107.34</v>
      </c>
      <c r="AA33" s="25">
        <f t="shared" ca="1" si="11"/>
        <v>3.4209997304946116E-2</v>
      </c>
      <c r="AB33" s="15" vm="904">
        <f ca="1">'Price Data'!O31</f>
        <v>88.808400000000006</v>
      </c>
      <c r="AC33" s="25">
        <f t="shared" ca="1" si="12"/>
        <v>1.050444095152552E-2</v>
      </c>
      <c r="AD33" s="15" vm="905">
        <f ca="1">'Price Data'!P31</f>
        <v>118.34</v>
      </c>
      <c r="AE33" s="25">
        <f t="shared" ca="1" si="13"/>
        <v>7.6177167272645688E-2</v>
      </c>
      <c r="AF33" s="15" vm="906">
        <f ca="1">'Price Data'!Q31</f>
        <v>98.17</v>
      </c>
      <c r="AG33" s="25">
        <f t="shared" ca="1" si="14"/>
        <v>-2.7627454068426937E-2</v>
      </c>
      <c r="AH33" s="15" vm="907">
        <f ca="1">'Price Data'!R31</f>
        <v>126.41</v>
      </c>
      <c r="AI33" s="25">
        <f t="shared" ca="1" si="15"/>
        <v>-3.6353517702251717E-2</v>
      </c>
      <c r="AJ33" s="15" vm="908">
        <f ca="1">'Price Data'!S31</f>
        <v>169.68</v>
      </c>
      <c r="AK33" s="25">
        <f t="shared" ca="1" si="16"/>
        <v>2.8575080690873691E-2</v>
      </c>
      <c r="AL33" s="15" vm="909">
        <f ca="1">'Price Data'!T31</f>
        <v>300.54000000000002</v>
      </c>
      <c r="AM33" s="25">
        <f t="shared" ca="1" si="17"/>
        <v>1.8198803309160256E-2</v>
      </c>
      <c r="AN33" s="15" vm="910">
        <f ca="1">'Price Data'!U31</f>
        <v>138.24</v>
      </c>
      <c r="AO33" s="25">
        <f t="shared" ca="1" si="18"/>
        <v>5.9075077898930899E-2</v>
      </c>
      <c r="AP33" s="15" vm="911">
        <f ca="1">'Price Data'!V31</f>
        <v>87</v>
      </c>
      <c r="AQ33" s="25">
        <f t="shared" ca="1" si="19"/>
        <v>5.0204957621318373E-2</v>
      </c>
      <c r="AR33" s="15" vm="912">
        <f ca="1">'Price Data'!W31</f>
        <v>17.670000000000002</v>
      </c>
      <c r="AS33" s="25">
        <f t="shared" ca="1" si="20"/>
        <v>-8.5642774402188079E-2</v>
      </c>
      <c r="AT33" s="15" vm="913">
        <f ca="1">'Price Data'!X31</f>
        <v>48.63</v>
      </c>
      <c r="AU33" s="25">
        <f t="shared" ca="1" si="21"/>
        <v>-1.5102327855077008E-2</v>
      </c>
      <c r="AV33" s="15" vm="914">
        <f ca="1">'Price Data'!Y31</f>
        <v>38.89</v>
      </c>
      <c r="AW33" s="25">
        <f t="shared" ca="1" si="22"/>
        <v>-4.794493324246004E-2</v>
      </c>
      <c r="AX33" s="15" vm="915">
        <f ca="1">'Price Data'!Z31</f>
        <v>380.03</v>
      </c>
      <c r="AY33" s="25">
        <f t="shared" ca="1" si="23"/>
        <v>4.4718523502585941E-2</v>
      </c>
      <c r="AZ33" s="15" vm="916">
        <f ca="1">'Price Data'!AA31</f>
        <v>307.26</v>
      </c>
      <c r="BA33" s="25">
        <f t="shared" ca="1" si="24"/>
        <v>6.3692690058157392E-2</v>
      </c>
      <c r="BB33" s="15" vm="917">
        <f ca="1">'Price Data'!AB31</f>
        <v>140.58000000000001</v>
      </c>
      <c r="BC33" s="25">
        <f t="shared" ca="1" si="25"/>
        <v>6.2368922135886712E-2</v>
      </c>
      <c r="BD33" s="15" vm="918">
        <f ca="1">'Price Data'!AC31</f>
        <v>50.322800000000001</v>
      </c>
      <c r="BE33" s="25">
        <f t="shared" ca="1" si="26"/>
        <v>2.3591581121844007E-2</v>
      </c>
      <c r="BF33" s="15" vm="919">
        <f ca="1">'Price Data'!AD31</f>
        <v>64.150000000000006</v>
      </c>
      <c r="BG33" s="25">
        <f t="shared" ca="1" si="27"/>
        <v>3.3605952076619323E-2</v>
      </c>
      <c r="BH33" s="15" vm="920">
        <f ca="1">'Price Data'!AE31</f>
        <v>295.75</v>
      </c>
      <c r="BI33" s="25">
        <f t="shared" ca="1" si="28"/>
        <v>5.6118727759293871E-2</v>
      </c>
      <c r="BJ33" s="15" vm="921">
        <f ca="1">'Price Data'!AF31</f>
        <v>417.66</v>
      </c>
      <c r="BK33" s="25">
        <f t="shared" ca="1" si="29"/>
        <v>1.5879861651757834E-2</v>
      </c>
    </row>
    <row r="34" spans="1:63" x14ac:dyDescent="0.25">
      <c r="A34" s="24">
        <f t="shared" ca="1" si="30"/>
        <v>45047</v>
      </c>
      <c r="B34" s="15" vm="922">
        <f ca="1">'Price Data'!B32</f>
        <v>203.93</v>
      </c>
      <c r="C34" s="25">
        <f t="shared" ca="1" si="31"/>
        <v>0.21602191024051604</v>
      </c>
      <c r="D34" s="15" vm="923">
        <f ca="1">'Price Data'!C32</f>
        <v>80.97</v>
      </c>
      <c r="E34" s="25">
        <f t="shared" ca="1" si="0"/>
        <v>0.21309784681637542</v>
      </c>
      <c r="F34" s="15" vm="924">
        <f ca="1">'Price Data'!D32</f>
        <v>37.834000000000003</v>
      </c>
      <c r="G34" s="25">
        <f t="shared" ca="1" si="1"/>
        <v>0.3100083657363778</v>
      </c>
      <c r="H34" s="15" vm="925">
        <f ca="1">'Price Data'!E32</f>
        <v>47.465000000000003</v>
      </c>
      <c r="I34" s="25">
        <f t="shared" ca="1" si="2"/>
        <v>8.0358779951361411E-2</v>
      </c>
      <c r="J34" s="15" vm="926">
        <f ca="1">'Price Data'!F32</f>
        <v>264.72000000000003</v>
      </c>
      <c r="K34" s="25">
        <f t="shared" ca="1" si="3"/>
        <v>9.670129503758694E-2</v>
      </c>
      <c r="L34" s="15" vm="927">
        <f ca="1">'Price Data'!G32</f>
        <v>11.8102</v>
      </c>
      <c r="M34" s="25">
        <f t="shared" ca="1" si="4"/>
        <v>1.0050164797816646E-2</v>
      </c>
      <c r="N34" s="15" vm="928">
        <f ca="1">'Price Data'!H32</f>
        <v>31.11</v>
      </c>
      <c r="O34" s="25">
        <f t="shared" ca="1" si="5"/>
        <v>-0.17608765870384382</v>
      </c>
      <c r="P34" s="15" vm="929">
        <f ca="1">'Price Data'!I32</f>
        <v>70.11</v>
      </c>
      <c r="Q34" s="25">
        <f t="shared" ca="1" si="6"/>
        <v>-6.4618748984700006E-2</v>
      </c>
      <c r="R34" s="15" vm="930">
        <f ca="1">'Price Data'!J32</f>
        <v>205.7</v>
      </c>
      <c r="S34" s="25">
        <f t="shared" ca="1" si="7"/>
        <v>-5.2366294996356285E-3</v>
      </c>
      <c r="T34" s="15" vm="931">
        <f ca="1">'Price Data'!K32</f>
        <v>41.529800000000002</v>
      </c>
      <c r="U34" s="25">
        <f t="shared" ca="1" si="8"/>
        <v>4.2807809374210571E-3</v>
      </c>
      <c r="V34" s="15" vm="932">
        <f ca="1">'Price Data'!L32</f>
        <v>205.75</v>
      </c>
      <c r="W34" s="25">
        <f t="shared" ca="1" si="9"/>
        <v>-6.1496230990647043E-2</v>
      </c>
      <c r="X34" s="15" vm="933">
        <f ca="1">'Price Data'!M32</f>
        <v>429.46</v>
      </c>
      <c r="Y34" s="25">
        <f t="shared" ca="1" si="10"/>
        <v>8.146799214639712E-2</v>
      </c>
      <c r="Z34" s="15" vm="934">
        <f ca="1">'Price Data'!N32</f>
        <v>122.87</v>
      </c>
      <c r="AA34" s="25">
        <f t="shared" ca="1" si="11"/>
        <v>0.13512551913079712</v>
      </c>
      <c r="AB34" s="15" vm="935">
        <f ca="1">'Price Data'!O32</f>
        <v>78.014600000000002</v>
      </c>
      <c r="AC34" s="25">
        <f t="shared" ca="1" si="12"/>
        <v>-0.12958525145805572</v>
      </c>
      <c r="AD34" s="15" vm="936">
        <f ca="1">'Price Data'!P32</f>
        <v>102.18</v>
      </c>
      <c r="AE34" s="25">
        <f t="shared" ca="1" si="13"/>
        <v>-0.14682587334589603</v>
      </c>
      <c r="AF34" s="15" vm="937">
        <f ca="1">'Price Data'!Q32</f>
        <v>103.15</v>
      </c>
      <c r="AG34" s="25">
        <f t="shared" ca="1" si="14"/>
        <v>4.9483569812830766E-2</v>
      </c>
      <c r="AH34" s="15" vm="938">
        <f ca="1">'Price Data'!R32</f>
        <v>128.59</v>
      </c>
      <c r="AI34" s="25">
        <f t="shared" ca="1" si="15"/>
        <v>1.7098455774881369E-2</v>
      </c>
      <c r="AJ34" s="15" vm="939">
        <f ca="1">'Price Data'!S32</f>
        <v>177.25</v>
      </c>
      <c r="AK34" s="25">
        <f t="shared" ca="1" si="16"/>
        <v>4.3646855155809787E-2</v>
      </c>
      <c r="AL34" s="15" vm="940">
        <f ca="1">'Price Data'!T32</f>
        <v>283.45</v>
      </c>
      <c r="AM34" s="25">
        <f t="shared" ca="1" si="17"/>
        <v>-5.8545115827267874E-2</v>
      </c>
      <c r="AN34" s="15" vm="941">
        <f ca="1">'Price Data'!U32</f>
        <v>135.71</v>
      </c>
      <c r="AO34" s="25">
        <f t="shared" ca="1" si="18"/>
        <v>-1.8471048962466177E-2</v>
      </c>
      <c r="AP34" s="15" vm="942">
        <f ca="1">'Price Data'!V32</f>
        <v>78.69</v>
      </c>
      <c r="AQ34" s="25">
        <f t="shared" ca="1" si="19"/>
        <v>-0.10039203610769178</v>
      </c>
      <c r="AR34" s="15" vm="943">
        <f ca="1">'Price Data'!W32</f>
        <v>15.73</v>
      </c>
      <c r="AS34" s="25">
        <f t="shared" ca="1" si="20"/>
        <v>-0.11629856926141861</v>
      </c>
      <c r="AT34" s="15" vm="944">
        <f ca="1">'Price Data'!X32</f>
        <v>45.33</v>
      </c>
      <c r="AU34" s="25">
        <f t="shared" ca="1" si="21"/>
        <v>-7.0271559462936603E-2</v>
      </c>
      <c r="AV34" s="15" vm="945">
        <f ca="1">'Price Data'!Y32</f>
        <v>38.020000000000003</v>
      </c>
      <c r="AW34" s="25">
        <f t="shared" ca="1" si="22"/>
        <v>-2.262481110737273E-2</v>
      </c>
      <c r="AX34" s="15" vm="946">
        <f ca="1">'Price Data'!Z32</f>
        <v>365.02</v>
      </c>
      <c r="AY34" s="25">
        <f t="shared" ca="1" si="23"/>
        <v>-4.0298050370798422E-2</v>
      </c>
      <c r="AZ34" s="15" vm="947">
        <f ca="1">'Price Data'!AA32</f>
        <v>328.39</v>
      </c>
      <c r="BA34" s="25">
        <f t="shared" ca="1" si="24"/>
        <v>6.6507631742213483E-2</v>
      </c>
      <c r="BB34" s="15" vm="948">
        <f ca="1">'Price Data'!AB32</f>
        <v>128.69</v>
      </c>
      <c r="BC34" s="25">
        <f t="shared" ca="1" si="25"/>
        <v>-8.837031024218589E-2</v>
      </c>
      <c r="BD34" s="15" vm="949">
        <f ca="1">'Price Data'!AC32</f>
        <v>48.956200000000003</v>
      </c>
      <c r="BE34" s="25">
        <f t="shared" ca="1" si="26"/>
        <v>-2.7532233910461213E-2</v>
      </c>
      <c r="BF34" s="15" vm="950">
        <f ca="1">'Price Data'!AD32</f>
        <v>59.66</v>
      </c>
      <c r="BG34" s="25">
        <f t="shared" ca="1" si="27"/>
        <v>-7.256231197504312E-2</v>
      </c>
      <c r="BH34" s="15" vm="951">
        <f ca="1">'Price Data'!AE32</f>
        <v>285.11</v>
      </c>
      <c r="BI34" s="25">
        <f t="shared" ca="1" si="28"/>
        <v>-3.6639432142861583E-2</v>
      </c>
      <c r="BJ34" s="15" vm="952">
        <f ca="1">'Price Data'!AF32</f>
        <v>419.43</v>
      </c>
      <c r="BK34" s="25">
        <f t="shared" ca="1" si="29"/>
        <v>4.2289422592128138E-3</v>
      </c>
    </row>
    <row r="35" spans="1:63" x14ac:dyDescent="0.25">
      <c r="A35" s="24">
        <f t="shared" ca="1" si="30"/>
        <v>45078</v>
      </c>
      <c r="B35" s="15" vm="953">
        <f ca="1">'Price Data'!B33</f>
        <v>261.77</v>
      </c>
      <c r="C35" s="25">
        <f t="shared" ca="1" si="31"/>
        <v>0.24968945791439814</v>
      </c>
      <c r="D35" s="15" vm="954">
        <f ca="1">'Price Data'!C33</f>
        <v>103.74</v>
      </c>
      <c r="E35" s="25">
        <f t="shared" ca="1" si="0"/>
        <v>0.24780905322523114</v>
      </c>
      <c r="F35" s="15" vm="955">
        <f ca="1">'Price Data'!D33</f>
        <v>42.302</v>
      </c>
      <c r="G35" s="25">
        <f t="shared" ca="1" si="1"/>
        <v>0.11162619701491115</v>
      </c>
      <c r="H35" s="15" vm="956">
        <f ca="1">'Price Data'!E33</f>
        <v>54.87</v>
      </c>
      <c r="I35" s="25">
        <f t="shared" ca="1" si="2"/>
        <v>0.14497415373712214</v>
      </c>
      <c r="J35" s="15" vm="957">
        <f ca="1">'Price Data'!F33</f>
        <v>286.98</v>
      </c>
      <c r="K35" s="25">
        <f t="shared" ca="1" si="3"/>
        <v>8.073986330690372E-2</v>
      </c>
      <c r="L35" s="15" vm="958">
        <f ca="1">'Price Data'!G33</f>
        <v>14.890599999999999</v>
      </c>
      <c r="M35" s="25">
        <f t="shared" ca="1" si="4"/>
        <v>0.23176657651751664</v>
      </c>
      <c r="N35" s="15" vm="959">
        <f ca="1">'Price Data'!H33</f>
        <v>35.21</v>
      </c>
      <c r="O35" s="25">
        <f t="shared" ca="1" si="5"/>
        <v>0.12380082225741544</v>
      </c>
      <c r="P35" s="15" vm="960">
        <f ca="1">'Price Data'!I33</f>
        <v>73.83</v>
      </c>
      <c r="Q35" s="25">
        <f t="shared" ca="1" si="6"/>
        <v>5.1699715852197986E-2</v>
      </c>
      <c r="R35" s="15" vm="961">
        <f ca="1">'Price Data'!J33</f>
        <v>211.16</v>
      </c>
      <c r="S35" s="25">
        <f t="shared" ca="1" si="7"/>
        <v>2.6197343296504021E-2</v>
      </c>
      <c r="T35" s="15" vm="962">
        <f ca="1">'Price Data'!K33</f>
        <v>42.78</v>
      </c>
      <c r="U35" s="25">
        <f t="shared" ca="1" si="8"/>
        <v>2.9659461819003637E-2</v>
      </c>
      <c r="V35" s="15" vm="963">
        <f ca="1">'Price Data'!L33</f>
        <v>246.05</v>
      </c>
      <c r="W35" s="25">
        <f t="shared" ca="1" si="9"/>
        <v>0.17887292775480801</v>
      </c>
      <c r="X35" s="15" vm="964">
        <f ca="1">'Price Data'!M33</f>
        <v>468.98</v>
      </c>
      <c r="Y35" s="25">
        <f t="shared" ca="1" si="10"/>
        <v>8.803151807477444E-2</v>
      </c>
      <c r="Z35" s="15" vm="965">
        <f ca="1">'Price Data'!N33</f>
        <v>119.7</v>
      </c>
      <c r="AA35" s="25">
        <f t="shared" ca="1" si="11"/>
        <v>-2.6138273315552414E-2</v>
      </c>
      <c r="AB35" s="15" vm="966">
        <f ca="1">'Price Data'!O33</f>
        <v>83.683199999999999</v>
      </c>
      <c r="AC35" s="25">
        <f t="shared" ca="1" si="12"/>
        <v>7.0142251842352718E-2</v>
      </c>
      <c r="AD35" s="15" vm="967">
        <f ca="1">'Price Data'!P33</f>
        <v>107.25</v>
      </c>
      <c r="AE35" s="25">
        <f t="shared" ca="1" si="13"/>
        <v>4.8426593905474463E-2</v>
      </c>
      <c r="AF35" s="15" vm="968">
        <f ca="1">'Price Data'!Q33</f>
        <v>104.29</v>
      </c>
      <c r="AG35" s="25">
        <f t="shared" ca="1" si="14"/>
        <v>1.0991240615860714E-2</v>
      </c>
      <c r="AH35" s="15" vm="969">
        <f ca="1">'Price Data'!R33</f>
        <v>133.81</v>
      </c>
      <c r="AI35" s="25">
        <f t="shared" ca="1" si="15"/>
        <v>3.9791835034549736E-2</v>
      </c>
      <c r="AJ35" s="15" vm="970">
        <f ca="1">'Price Data'!S33</f>
        <v>193.97</v>
      </c>
      <c r="AK35" s="25">
        <f t="shared" ca="1" si="16"/>
        <v>9.0142342517963436E-2</v>
      </c>
      <c r="AL35" s="15" vm="971">
        <f ca="1">'Price Data'!T33</f>
        <v>310.64</v>
      </c>
      <c r="AM35" s="25">
        <f t="shared" ca="1" si="17"/>
        <v>9.1598944653099257E-2</v>
      </c>
      <c r="AN35" s="15" vm="972">
        <f ca="1">'Price Data'!U33</f>
        <v>145.44</v>
      </c>
      <c r="AO35" s="25">
        <f t="shared" ca="1" si="18"/>
        <v>6.9243374335889354E-2</v>
      </c>
      <c r="AP35" s="15" vm="973">
        <f ca="1">'Price Data'!V33</f>
        <v>88.22</v>
      </c>
      <c r="AQ35" s="25">
        <f t="shared" ca="1" si="19"/>
        <v>0.11431761212990178</v>
      </c>
      <c r="AR35" s="15" vm="974">
        <f ca="1">'Price Data'!W33</f>
        <v>15.95</v>
      </c>
      <c r="AS35" s="25">
        <f t="shared" ca="1" si="20"/>
        <v>1.3889112160667093E-2</v>
      </c>
      <c r="AT35" s="15" vm="975">
        <f ca="1">'Price Data'!X33</f>
        <v>47</v>
      </c>
      <c r="AU35" s="25">
        <f t="shared" ca="1" si="21"/>
        <v>3.6178536757300629E-2</v>
      </c>
      <c r="AV35" s="15" vm="976">
        <f ca="1">'Price Data'!Y33</f>
        <v>36.68</v>
      </c>
      <c r="AW35" s="25">
        <f t="shared" ca="1" si="22"/>
        <v>-3.5880689672019142E-2</v>
      </c>
      <c r="AX35" s="15" vm="977">
        <f ca="1">'Price Data'!Z33</f>
        <v>393.3</v>
      </c>
      <c r="AY35" s="25">
        <f t="shared" ca="1" si="23"/>
        <v>7.4620532835889403E-2</v>
      </c>
      <c r="AZ35" s="15" vm="978">
        <f ca="1">'Price Data'!AA33</f>
        <v>340.54</v>
      </c>
      <c r="BA35" s="25">
        <f t="shared" ca="1" si="24"/>
        <v>3.6330666547770604E-2</v>
      </c>
      <c r="BB35" s="15" vm="979">
        <f ca="1">'Price Data'!AB33</f>
        <v>138.55000000000001</v>
      </c>
      <c r="BC35" s="25">
        <f t="shared" ca="1" si="25"/>
        <v>7.3824859803413953E-2</v>
      </c>
      <c r="BD35" s="15" vm="980">
        <f ca="1">'Price Data'!AC33</f>
        <v>52.392800000000001</v>
      </c>
      <c r="BE35" s="25">
        <f t="shared" ca="1" si="26"/>
        <v>6.7843156493135715E-2</v>
      </c>
      <c r="BF35" s="15" vm="981">
        <f ca="1">'Price Data'!AD33</f>
        <v>60.22</v>
      </c>
      <c r="BG35" s="25">
        <f t="shared" ca="1" si="27"/>
        <v>9.3427439669854038E-3</v>
      </c>
      <c r="BH35" s="15" vm="982">
        <f ca="1">'Price Data'!AE33</f>
        <v>298.41000000000003</v>
      </c>
      <c r="BI35" s="25">
        <f t="shared" ca="1" si="28"/>
        <v>4.5593309116797889E-2</v>
      </c>
      <c r="BJ35" s="15" vm="983">
        <f ca="1">'Price Data'!AF33</f>
        <v>445.71</v>
      </c>
      <c r="BK35" s="25">
        <f t="shared" ca="1" si="29"/>
        <v>6.0771869649528194E-2</v>
      </c>
    </row>
    <row r="36" spans="1:63" x14ac:dyDescent="0.25">
      <c r="A36" s="24">
        <f t="shared" ca="1" si="30"/>
        <v>45108</v>
      </c>
      <c r="B36" s="15" vm="984">
        <f ca="1">'Price Data'!B34</f>
        <v>267.43</v>
      </c>
      <c r="C36" s="25">
        <f t="shared" ca="1" si="31"/>
        <v>2.139159422964413E-2</v>
      </c>
      <c r="D36" s="15" vm="985">
        <f ca="1">'Price Data'!C34</f>
        <v>109.11</v>
      </c>
      <c r="E36" s="25">
        <f t="shared" ca="1" si="0"/>
        <v>5.0468778743753349E-2</v>
      </c>
      <c r="F36" s="15" vm="986">
        <f ca="1">'Price Data'!D34</f>
        <v>46.728999999999999</v>
      </c>
      <c r="G36" s="25">
        <f t="shared" ca="1" si="1"/>
        <v>9.9530590695768528E-2</v>
      </c>
      <c r="H36" s="15" vm="987">
        <f ca="1">'Price Data'!E34</f>
        <v>54.31</v>
      </c>
      <c r="I36" s="25">
        <f t="shared" ca="1" si="2"/>
        <v>-1.0258379024129974E-2</v>
      </c>
      <c r="J36" s="15" vm="988">
        <f ca="1">'Price Data'!F34</f>
        <v>318.60000000000002</v>
      </c>
      <c r="K36" s="25">
        <f t="shared" ca="1" si="3"/>
        <v>0.10452387055568763</v>
      </c>
      <c r="L36" s="15" vm="989">
        <f ca="1">'Price Data'!G34</f>
        <v>13.000999999999999</v>
      </c>
      <c r="M36" s="25">
        <f t="shared" ca="1" si="4"/>
        <v>-0.13570386380437988</v>
      </c>
      <c r="N36" s="15" vm="990">
        <f ca="1">'Price Data'!H34</f>
        <v>38.61</v>
      </c>
      <c r="O36" s="25">
        <f t="shared" ca="1" si="5"/>
        <v>9.2181177109183748E-2</v>
      </c>
      <c r="P36" s="15" vm="991">
        <f ca="1">'Price Data'!I34</f>
        <v>82.7</v>
      </c>
      <c r="Q36" s="25">
        <f t="shared" ca="1" si="6"/>
        <v>0.11345444895857144</v>
      </c>
      <c r="R36" s="15" vm="992">
        <f ca="1">'Price Data'!J34</f>
        <v>238.85</v>
      </c>
      <c r="S36" s="25">
        <f t="shared" ca="1" si="7"/>
        <v>0.12321959988055536</v>
      </c>
      <c r="T36" s="15" vm="993">
        <f ca="1">'Price Data'!K34</f>
        <v>39.245600000000003</v>
      </c>
      <c r="U36" s="25">
        <f t="shared" ca="1" si="8"/>
        <v>-8.6231367620558885E-2</v>
      </c>
      <c r="V36" s="15" vm="994">
        <f ca="1">'Price Data'!L34</f>
        <v>265.17</v>
      </c>
      <c r="W36" s="25">
        <f t="shared" ca="1" si="9"/>
        <v>7.4836362428979133E-2</v>
      </c>
      <c r="X36" s="15" vm="995">
        <f ca="1">'Price Data'!M34</f>
        <v>454.55</v>
      </c>
      <c r="Y36" s="25">
        <f t="shared" ca="1" si="10"/>
        <v>-3.1252205045893308E-2</v>
      </c>
      <c r="Z36" s="15" vm="996">
        <f ca="1">'Price Data'!N34</f>
        <v>132.72</v>
      </c>
      <c r="AA36" s="25">
        <f t="shared" ca="1" si="11"/>
        <v>0.10325303331826149</v>
      </c>
      <c r="AB36" s="15" vm="997">
        <f ca="1">'Price Data'!O34</f>
        <v>93.222899999999996</v>
      </c>
      <c r="AC36" s="25">
        <f t="shared" ca="1" si="12"/>
        <v>0.10795515916151749</v>
      </c>
      <c r="AD36" s="15" vm="998">
        <f ca="1">'Price Data'!P34</f>
        <v>107.24</v>
      </c>
      <c r="AE36" s="25">
        <f t="shared" ca="1" si="13"/>
        <v>-9.3244440367901328E-5</v>
      </c>
      <c r="AF36" s="15" vm="999">
        <f ca="1">'Price Data'!Q34</f>
        <v>105.89</v>
      </c>
      <c r="AG36" s="25">
        <f t="shared" ca="1" si="14"/>
        <v>1.522533930924156E-2</v>
      </c>
      <c r="AH36" s="15" vm="1000">
        <f ca="1">'Price Data'!R34</f>
        <v>144.18</v>
      </c>
      <c r="AI36" s="25">
        <f t="shared" ca="1" si="15"/>
        <v>7.4641635659535063E-2</v>
      </c>
      <c r="AJ36" s="15" vm="1001">
        <f ca="1">'Price Data'!S34</f>
        <v>196.45</v>
      </c>
      <c r="AK36" s="25">
        <f t="shared" ca="1" si="16"/>
        <v>1.2704438074268271E-2</v>
      </c>
      <c r="AL36" s="15" vm="1002">
        <f ca="1">'Price Data'!T34</f>
        <v>333.84</v>
      </c>
      <c r="AM36" s="25">
        <f t="shared" ca="1" si="17"/>
        <v>7.2027150859885203E-2</v>
      </c>
      <c r="AN36" s="15" vm="1003">
        <f ca="1">'Price Data'!U34</f>
        <v>157.96</v>
      </c>
      <c r="AO36" s="25">
        <f t="shared" ca="1" si="18"/>
        <v>8.2578205989279937E-2</v>
      </c>
      <c r="AP36" s="15" vm="1004">
        <f ca="1">'Price Data'!V34</f>
        <v>96.49</v>
      </c>
      <c r="AQ36" s="25">
        <f t="shared" ca="1" si="19"/>
        <v>8.9605681355498706E-2</v>
      </c>
      <c r="AR36" s="15" vm="1005">
        <f ca="1">'Price Data'!W34</f>
        <v>14.52</v>
      </c>
      <c r="AS36" s="25">
        <f t="shared" ca="1" si="20"/>
        <v>-9.3931819834203498E-2</v>
      </c>
      <c r="AT36" s="15" vm="1006">
        <f ca="1">'Price Data'!X34</f>
        <v>48.64</v>
      </c>
      <c r="AU36" s="25">
        <f t="shared" ca="1" si="21"/>
        <v>3.4298635947852964E-2</v>
      </c>
      <c r="AV36" s="15" vm="1007">
        <f ca="1">'Price Data'!Y34</f>
        <v>36.06</v>
      </c>
      <c r="AW36" s="25">
        <f t="shared" ca="1" si="22"/>
        <v>-1.7047429613092781E-2</v>
      </c>
      <c r="AX36" s="15" vm="1008">
        <f ca="1">'Price Data'!Z34</f>
        <v>394.28</v>
      </c>
      <c r="AY36" s="25">
        <f t="shared" ca="1" si="23"/>
        <v>2.48863735947424E-3</v>
      </c>
      <c r="AZ36" s="15" vm="1009">
        <f ca="1">'Price Data'!AA34</f>
        <v>335.92</v>
      </c>
      <c r="BA36" s="25">
        <f t="shared" ca="1" si="24"/>
        <v>-1.3659556616560049E-2</v>
      </c>
      <c r="BB36" s="15" vm="1010">
        <f ca="1">'Price Data'!AB34</f>
        <v>137.66999999999999</v>
      </c>
      <c r="BC36" s="25">
        <f t="shared" ca="1" si="25"/>
        <v>-6.3717542341357215E-3</v>
      </c>
      <c r="BD36" s="15" vm="1011">
        <f ca="1">'Price Data'!AC34</f>
        <v>53.286099999999998</v>
      </c>
      <c r="BE36" s="25">
        <f t="shared" ca="1" si="26"/>
        <v>1.6906331862232123E-2</v>
      </c>
      <c r="BF36" s="15" vm="1012">
        <f ca="1">'Price Data'!AD34</f>
        <v>61.93</v>
      </c>
      <c r="BG36" s="25">
        <f t="shared" ca="1" si="27"/>
        <v>2.8000191896381737E-2</v>
      </c>
      <c r="BH36" s="15" vm="1013">
        <f ca="1">'Price Data'!AE34</f>
        <v>293.2</v>
      </c>
      <c r="BI36" s="25">
        <f t="shared" ca="1" si="28"/>
        <v>-1.7613409819936018E-2</v>
      </c>
      <c r="BJ36" s="15" vm="1014">
        <f ca="1">'Price Data'!AF34</f>
        <v>460.18</v>
      </c>
      <c r="BK36" s="25">
        <f t="shared" ca="1" si="29"/>
        <v>3.1949200974015553E-2</v>
      </c>
    </row>
    <row r="37" spans="1:63" x14ac:dyDescent="0.25">
      <c r="A37" s="24">
        <f t="shared" ca="1" si="30"/>
        <v>45139</v>
      </c>
      <c r="B37" s="15" vm="1015">
        <f ca="1">'Price Data'!B35</f>
        <v>258.08</v>
      </c>
      <c r="C37" s="25">
        <f t="shared" ca="1" si="31"/>
        <v>-3.5588235471399533E-2</v>
      </c>
      <c r="D37" s="15" vm="1016">
        <f ca="1">'Price Data'!C35</f>
        <v>98.94</v>
      </c>
      <c r="E37" s="25">
        <f t="shared" ca="1" si="0"/>
        <v>-9.7842941867444883E-2</v>
      </c>
      <c r="F37" s="15" vm="1017">
        <f ca="1">'Price Data'!D35</f>
        <v>49.354999999999997</v>
      </c>
      <c r="G37" s="25">
        <f t="shared" ca="1" si="1"/>
        <v>5.4674120915700085E-2</v>
      </c>
      <c r="H37" s="15" vm="1018">
        <f ca="1">'Price Data'!E35</f>
        <v>49.81</v>
      </c>
      <c r="I37" s="25">
        <f t="shared" ca="1" si="2"/>
        <v>-8.6492604961561831E-2</v>
      </c>
      <c r="J37" s="15" vm="1019">
        <f ca="1">'Price Data'!F35</f>
        <v>295.89</v>
      </c>
      <c r="K37" s="25">
        <f t="shared" ca="1" si="3"/>
        <v>-7.3948633841936381E-2</v>
      </c>
      <c r="L37" s="15" vm="1020">
        <f ca="1">'Price Data'!G35</f>
        <v>11.9381</v>
      </c>
      <c r="M37" s="25">
        <f t="shared" ca="1" si="4"/>
        <v>-8.5291311256159186E-2</v>
      </c>
      <c r="N37" s="15" vm="1021">
        <f ca="1">'Price Data'!H35</f>
        <v>33.75</v>
      </c>
      <c r="O37" s="25">
        <f t="shared" ca="1" si="5"/>
        <v>-0.13453089295760612</v>
      </c>
      <c r="P37" s="15" vm="1022">
        <f ca="1">'Price Data'!I35</f>
        <v>75.7</v>
      </c>
      <c r="Q37" s="25">
        <f t="shared" ca="1" si="6"/>
        <v>-8.8441441586242522E-2</v>
      </c>
      <c r="R37" s="15" vm="1023">
        <f ca="1">'Price Data'!J35</f>
        <v>224.03</v>
      </c>
      <c r="S37" s="25">
        <f t="shared" ca="1" si="7"/>
        <v>-6.4055768377132907E-2</v>
      </c>
      <c r="T37" s="15" vm="1024">
        <f ca="1">'Price Data'!K35</f>
        <v>38.532800000000002</v>
      </c>
      <c r="U37" s="25">
        <f t="shared" ca="1" si="8"/>
        <v>-1.8329509389768229E-2</v>
      </c>
      <c r="V37" s="15" vm="1025">
        <f ca="1">'Price Data'!L35</f>
        <v>281.13</v>
      </c>
      <c r="W37" s="25">
        <f t="shared" ca="1" si="9"/>
        <v>5.8446066062875682E-2</v>
      </c>
      <c r="X37" s="15" vm="1026">
        <f ca="1">'Price Data'!M35</f>
        <v>554.20000000000005</v>
      </c>
      <c r="Y37" s="25">
        <f t="shared" ca="1" si="10"/>
        <v>0.19821771386101078</v>
      </c>
      <c r="Z37" s="15" vm="417">
        <f ca="1">'Price Data'!N35</f>
        <v>136.16999999999999</v>
      </c>
      <c r="AA37" s="25">
        <f t="shared" ca="1" si="11"/>
        <v>2.5662459254294893E-2</v>
      </c>
      <c r="AB37" s="15" vm="1027">
        <f ca="1">'Price Data'!O35</f>
        <v>89.184700000000007</v>
      </c>
      <c r="AC37" s="25">
        <f t="shared" ca="1" si="12"/>
        <v>-4.4283899454497865E-2</v>
      </c>
      <c r="AD37" s="15" vm="1028">
        <f ca="1">'Price Data'!P35</f>
        <v>111.19</v>
      </c>
      <c r="AE37" s="25">
        <f t="shared" ca="1" si="13"/>
        <v>3.6171136347399289E-2</v>
      </c>
      <c r="AF37" s="15" vm="1029">
        <f ca="1">'Price Data'!Q35</f>
        <v>106.02</v>
      </c>
      <c r="AG37" s="25">
        <f t="shared" ca="1" si="14"/>
        <v>1.2269361172968524E-3</v>
      </c>
      <c r="AH37" s="15" vm="1030">
        <f ca="1">'Price Data'!R35</f>
        <v>146.83000000000001</v>
      </c>
      <c r="AI37" s="25">
        <f t="shared" ca="1" si="15"/>
        <v>1.8212935998413757E-2</v>
      </c>
      <c r="AJ37" s="15" vm="1031">
        <f ca="1">'Price Data'!S35</f>
        <v>187.87</v>
      </c>
      <c r="AK37" s="25">
        <f t="shared" ca="1" si="16"/>
        <v>-4.4657711725261062E-2</v>
      </c>
      <c r="AL37" s="15" vm="1032">
        <f ca="1">'Price Data'!T35</f>
        <v>330.3</v>
      </c>
      <c r="AM37" s="25">
        <f t="shared" ca="1" si="17"/>
        <v>-1.0660503886553025E-2</v>
      </c>
      <c r="AN37" s="15" vm="1033">
        <f ca="1">'Price Data'!U35</f>
        <v>146.33000000000001</v>
      </c>
      <c r="AO37" s="25">
        <f t="shared" ca="1" si="18"/>
        <v>-7.6477491314113563E-2</v>
      </c>
      <c r="AP37" s="15" vm="1034">
        <f ca="1">'Price Data'!V35</f>
        <v>94.67</v>
      </c>
      <c r="AQ37" s="25">
        <f t="shared" ca="1" si="19"/>
        <v>-1.904221589149252E-2</v>
      </c>
      <c r="AR37" s="15" vm="1035">
        <f ca="1">'Price Data'!W35</f>
        <v>14.79</v>
      </c>
      <c r="AS37" s="25">
        <f t="shared" ca="1" si="20"/>
        <v>1.8424267326058286E-2</v>
      </c>
      <c r="AT37" s="15" vm="1036">
        <f ca="1">'Price Data'!X35</f>
        <v>46.39</v>
      </c>
      <c r="AU37" s="25">
        <f t="shared" ca="1" si="21"/>
        <v>-4.7362318894259244E-2</v>
      </c>
      <c r="AV37" s="15" vm="1037">
        <f ca="1">'Price Data'!Y35</f>
        <v>35.380000000000003</v>
      </c>
      <c r="AW37" s="25">
        <f t="shared" ca="1" si="22"/>
        <v>-1.9037529043531978E-2</v>
      </c>
      <c r="AX37" s="15" vm="1038">
        <f ca="1">'Price Data'!Z35</f>
        <v>412.64</v>
      </c>
      <c r="AY37" s="25">
        <f t="shared" ca="1" si="23"/>
        <v>4.55142253357965E-2</v>
      </c>
      <c r="AZ37" s="15" vm="1039">
        <f ca="1">'Price Data'!AA35</f>
        <v>327.76</v>
      </c>
      <c r="BA37" s="25">
        <f t="shared" ca="1" si="24"/>
        <v>-2.4591403137322321E-2</v>
      </c>
      <c r="BB37" s="15" vm="1040">
        <f ca="1">'Price Data'!AB35</f>
        <v>129.38</v>
      </c>
      <c r="BC37" s="25">
        <f t="shared" ca="1" si="25"/>
        <v>-6.2105706459012353E-2</v>
      </c>
      <c r="BD37" s="15" vm="1041">
        <f ca="1">'Price Data'!AC35</f>
        <v>54.202800000000003</v>
      </c>
      <c r="BE37" s="25">
        <f t="shared" ca="1" si="26"/>
        <v>1.7057058459645433E-2</v>
      </c>
      <c r="BF37" s="15" vm="1042">
        <f ca="1">'Price Data'!AD35</f>
        <v>59.83</v>
      </c>
      <c r="BG37" s="25">
        <f t="shared" ca="1" si="27"/>
        <v>-3.4497507548029098E-2</v>
      </c>
      <c r="BH37" s="15" vm="1043">
        <f ca="1">'Price Data'!AE35</f>
        <v>281.14999999999998</v>
      </c>
      <c r="BI37" s="25">
        <f t="shared" ca="1" si="28"/>
        <v>-4.1966635274285798E-2</v>
      </c>
      <c r="BJ37" s="15" vm="1044">
        <f ca="1">'Price Data'!AF35</f>
        <v>452.69</v>
      </c>
      <c r="BK37" s="25">
        <f t="shared" ca="1" si="29"/>
        <v>-1.641015277757191E-2</v>
      </c>
    </row>
    <row r="38" spans="1:63" x14ac:dyDescent="0.25">
      <c r="A38" s="24">
        <f t="shared" ca="1" si="30"/>
        <v>45170</v>
      </c>
      <c r="B38" s="15" vm="1045">
        <f ca="1">'Price Data'!B36</f>
        <v>250.22</v>
      </c>
      <c r="C38" s="25">
        <f t="shared" ca="1" si="31"/>
        <v>-3.0929083487644692E-2</v>
      </c>
      <c r="D38" s="15" vm="1046">
        <f ca="1">'Price Data'!C36</f>
        <v>92.14</v>
      </c>
      <c r="E38" s="25">
        <f t="shared" ca="1" si="0"/>
        <v>-7.1204446291791595E-2</v>
      </c>
      <c r="F38" s="15" vm="1047">
        <f ca="1">'Price Data'!D36</f>
        <v>43.499000000000002</v>
      </c>
      <c r="G38" s="25">
        <f t="shared" ca="1" si="1"/>
        <v>-0.12630112854519968</v>
      </c>
      <c r="H38" s="15" vm="1048">
        <f ca="1">'Price Data'!E36</f>
        <v>42.3</v>
      </c>
      <c r="I38" s="25">
        <f t="shared" ca="1" si="2"/>
        <v>-0.16342868103295979</v>
      </c>
      <c r="J38" s="15" vm="1049">
        <f ca="1">'Price Data'!F36</f>
        <v>300.20999999999998</v>
      </c>
      <c r="K38" s="25">
        <f t="shared" ca="1" si="3"/>
        <v>1.4494466136462441E-2</v>
      </c>
      <c r="L38" s="15" vm="1050">
        <f ca="1">'Price Data'!G36</f>
        <v>12.2235</v>
      </c>
      <c r="M38" s="25">
        <f t="shared" ca="1" si="4"/>
        <v>2.3625362122374604E-2</v>
      </c>
      <c r="N38" s="15" vm="1051">
        <f ca="1">'Price Data'!H36</f>
        <v>33.06</v>
      </c>
      <c r="O38" s="25">
        <f t="shared" ca="1" si="5"/>
        <v>-2.0656324925660642E-2</v>
      </c>
      <c r="P38" s="15" vm="1052">
        <f ca="1">'Price Data'!I36</f>
        <v>68.22</v>
      </c>
      <c r="Q38" s="25">
        <f t="shared" ca="1" si="6"/>
        <v>-0.10404038345290346</v>
      </c>
      <c r="R38" s="15" vm="1053">
        <f ca="1">'Price Data'!J36</f>
        <v>191.68</v>
      </c>
      <c r="S38" s="25">
        <f t="shared" ca="1" si="7"/>
        <v>-0.15595265653175347</v>
      </c>
      <c r="T38" s="15" vm="1054">
        <f ca="1">'Price Data'!K36</f>
        <v>36.636600000000001</v>
      </c>
      <c r="U38" s="25">
        <f t="shared" ca="1" si="8"/>
        <v>-5.0462085903528284E-2</v>
      </c>
      <c r="V38" s="15" vm="1055">
        <f ca="1">'Price Data'!L36</f>
        <v>273</v>
      </c>
      <c r="W38" s="25">
        <f t="shared" ca="1" si="9"/>
        <v>-2.934540061888222E-2</v>
      </c>
      <c r="X38" s="15" vm="1056">
        <f ca="1">'Price Data'!M36</f>
        <v>537.13</v>
      </c>
      <c r="Y38" s="25">
        <f t="shared" ca="1" si="10"/>
        <v>-3.1285481556938645E-2</v>
      </c>
      <c r="Z38" s="15" vm="1057">
        <f ca="1">'Price Data'!N36</f>
        <v>130.86000000000001</v>
      </c>
      <c r="AA38" s="25">
        <f t="shared" ca="1" si="11"/>
        <v>-3.9776055694891073E-2</v>
      </c>
      <c r="AB38" s="15" vm="1058">
        <f ca="1">'Price Data'!O36</f>
        <v>78.273799999999994</v>
      </c>
      <c r="AC38" s="25">
        <f t="shared" ca="1" si="12"/>
        <v>-0.1304965636806088</v>
      </c>
      <c r="AD38" s="15" vm="1059">
        <f ca="1">'Price Data'!P36</f>
        <v>117.58</v>
      </c>
      <c r="AE38" s="25">
        <f t="shared" ca="1" si="13"/>
        <v>5.5878503258951009E-2</v>
      </c>
      <c r="AF38" s="15" vm="329">
        <f ca="1">'Price Data'!Q36</f>
        <v>105.2</v>
      </c>
      <c r="AG38" s="25">
        <f t="shared" ca="1" si="14"/>
        <v>-7.7644552560505063E-3</v>
      </c>
      <c r="AH38" s="15" vm="1060">
        <f ca="1">'Price Data'!R36</f>
        <v>140.30000000000001</v>
      </c>
      <c r="AI38" s="25">
        <f t="shared" ca="1" si="15"/>
        <v>-4.5492467866430943E-2</v>
      </c>
      <c r="AJ38" s="15" vm="1061">
        <f ca="1">'Price Data'!S36</f>
        <v>171.21</v>
      </c>
      <c r="AK38" s="25">
        <f t="shared" ca="1" si="16"/>
        <v>-9.2859361062481216E-2</v>
      </c>
      <c r="AL38" s="15" vm="1062">
        <f ca="1">'Price Data'!T36</f>
        <v>302.16000000000003</v>
      </c>
      <c r="AM38" s="25">
        <f t="shared" ca="1" si="17"/>
        <v>-8.9044653992542466E-2</v>
      </c>
      <c r="AN38" s="15" vm="1063">
        <f ca="1">'Price Data'!U36</f>
        <v>145.02000000000001</v>
      </c>
      <c r="AO38" s="25">
        <f t="shared" ca="1" si="18"/>
        <v>-8.9926811608884646E-3</v>
      </c>
      <c r="AP38" s="15" vm="1064">
        <f ca="1">'Price Data'!V36</f>
        <v>94.89</v>
      </c>
      <c r="AQ38" s="25">
        <f t="shared" ca="1" si="19"/>
        <v>2.3211658448672231E-3</v>
      </c>
      <c r="AR38" s="15" vm="1065">
        <f ca="1">'Price Data'!W36</f>
        <v>15.02</v>
      </c>
      <c r="AS38" s="25">
        <f t="shared" ca="1" si="20"/>
        <v>1.5431369613280269E-2</v>
      </c>
      <c r="AT38" s="15" vm="1066">
        <f ca="1">'Price Data'!X36</f>
        <v>44.75</v>
      </c>
      <c r="AU38" s="25">
        <f t="shared" ca="1" si="21"/>
        <v>-3.5992474042787992E-2</v>
      </c>
      <c r="AV38" s="15" vm="1067">
        <f ca="1">'Price Data'!Y36</f>
        <v>33.17</v>
      </c>
      <c r="AW38" s="25">
        <f t="shared" ca="1" si="22"/>
        <v>-6.4500835772678219E-2</v>
      </c>
      <c r="AX38" s="15" vm="1068">
        <f ca="1">'Price Data'!Z36</f>
        <v>395.91</v>
      </c>
      <c r="AY38" s="25">
        <f t="shared" ca="1" si="23"/>
        <v>-4.1388629436186736E-2</v>
      </c>
      <c r="AZ38" s="15" vm="1069">
        <f ca="1">'Price Data'!AA36</f>
        <v>315.75</v>
      </c>
      <c r="BA38" s="25">
        <f t="shared" ca="1" si="24"/>
        <v>-3.7330872008015124E-2</v>
      </c>
      <c r="BB38" s="15" vm="366">
        <f ca="1">'Price Data'!AB36</f>
        <v>124.94</v>
      </c>
      <c r="BC38" s="25">
        <f t="shared" ca="1" si="25"/>
        <v>-3.4920188550415461E-2</v>
      </c>
      <c r="BD38" s="15" vm="1070">
        <f ca="1">'Price Data'!AC36</f>
        <v>53.3095</v>
      </c>
      <c r="BE38" s="25">
        <f t="shared" ca="1" si="26"/>
        <v>-1.6618015940519374E-2</v>
      </c>
      <c r="BF38" s="15" vm="1071">
        <f ca="1">'Price Data'!AD36</f>
        <v>55.98</v>
      </c>
      <c r="BG38" s="25">
        <f t="shared" ca="1" si="27"/>
        <v>-6.6512723314632982E-2</v>
      </c>
      <c r="BH38" s="15" vm="1072">
        <f ca="1">'Price Data'!AE36</f>
        <v>263.44</v>
      </c>
      <c r="BI38" s="25">
        <f t="shared" ca="1" si="28"/>
        <v>-6.5062696670101741E-2</v>
      </c>
      <c r="BJ38" s="15" vm="1073">
        <f ca="1">'Price Data'!AF36</f>
        <v>429.43</v>
      </c>
      <c r="BK38" s="25">
        <f t="shared" ca="1" si="29"/>
        <v>-5.2748816581768214E-2</v>
      </c>
    </row>
    <row r="39" spans="1:63" x14ac:dyDescent="0.25">
      <c r="A39" s="24">
        <f t="shared" ca="1" si="30"/>
        <v>45200</v>
      </c>
      <c r="B39" s="15" vm="1074">
        <f ca="1">'Price Data'!B37</f>
        <v>200.84</v>
      </c>
      <c r="C39" s="25">
        <f t="shared" ca="1" si="31"/>
        <v>-0.21983195972274922</v>
      </c>
      <c r="D39" s="15" vm="1075">
        <f ca="1">'Price Data'!C37</f>
        <v>84.73</v>
      </c>
      <c r="E39" s="25">
        <f t="shared" ca="1" si="0"/>
        <v>-8.3839429297398169E-2</v>
      </c>
      <c r="F39" s="15" vm="1076">
        <f ca="1">'Price Data'!D37</f>
        <v>40.78</v>
      </c>
      <c r="G39" s="25">
        <f t="shared" ca="1" si="1"/>
        <v>-6.4546184178342444E-2</v>
      </c>
      <c r="H39" s="15" vm="650">
        <f ca="1">'Price Data'!E37</f>
        <v>35.01</v>
      </c>
      <c r="I39" s="25">
        <f t="shared" ca="1" si="2"/>
        <v>-0.18915335108565795</v>
      </c>
      <c r="J39" s="15" vm="1077">
        <f ca="1">'Price Data'!F37</f>
        <v>301.27</v>
      </c>
      <c r="K39" s="25">
        <f t="shared" ca="1" si="3"/>
        <v>3.5246428721627909E-3</v>
      </c>
      <c r="L39" s="15" vm="1078">
        <f ca="1">'Price Data'!G37</f>
        <v>9.5958000000000006</v>
      </c>
      <c r="M39" s="25">
        <f t="shared" ca="1" si="4"/>
        <v>-0.2420348257035041</v>
      </c>
      <c r="N39" s="15" vm="1079">
        <f ca="1">'Price Data'!H37</f>
        <v>26.85</v>
      </c>
      <c r="O39" s="25">
        <f t="shared" ca="1" si="5"/>
        <v>-0.20805827143800448</v>
      </c>
      <c r="P39" s="15" vm="1080">
        <f ca="1">'Price Data'!I37</f>
        <v>65.02</v>
      </c>
      <c r="Q39" s="25">
        <f t="shared" ca="1" si="6"/>
        <v>-4.8042862114740424E-2</v>
      </c>
      <c r="R39" s="15" vm="136">
        <f ca="1">'Price Data'!J37</f>
        <v>186.82</v>
      </c>
      <c r="S39" s="25">
        <f t="shared" ca="1" si="7"/>
        <v>-2.5681728482381913E-2</v>
      </c>
      <c r="T39" s="15" vm="1081">
        <f ca="1">'Price Data'!K37</f>
        <v>38.844000000000001</v>
      </c>
      <c r="U39" s="25">
        <f t="shared" ca="1" si="8"/>
        <v>5.8505883991703422E-2</v>
      </c>
      <c r="V39" s="15" vm="1082">
        <f ca="1">'Price Data'!L37</f>
        <v>226.05</v>
      </c>
      <c r="W39" s="25">
        <f t="shared" ca="1" si="9"/>
        <v>-0.1887155814443455</v>
      </c>
      <c r="X39" s="15" vm="1083">
        <f ca="1">'Price Data'!M37</f>
        <v>553.92999999999995</v>
      </c>
      <c r="Y39" s="25">
        <f t="shared" ca="1" si="10"/>
        <v>3.0798174101417886E-2</v>
      </c>
      <c r="Z39" s="15" vm="347">
        <f ca="1">'Price Data'!N37</f>
        <v>124.08</v>
      </c>
      <c r="AA39" s="25">
        <f t="shared" ca="1" si="11"/>
        <v>-5.3201530573309425E-2</v>
      </c>
      <c r="AB39" s="15" vm="1084">
        <f ca="1">'Price Data'!O37</f>
        <v>76.041499999999999</v>
      </c>
      <c r="AC39" s="25">
        <f t="shared" ca="1" si="12"/>
        <v>-2.8933692644218037E-2</v>
      </c>
      <c r="AD39" s="15" vm="1085">
        <f ca="1">'Price Data'!P37</f>
        <v>105.85</v>
      </c>
      <c r="AE39" s="25">
        <f t="shared" ca="1" si="13"/>
        <v>-0.10509595539323481</v>
      </c>
      <c r="AF39" s="15" vm="1086">
        <f ca="1">'Price Data'!Q37</f>
        <v>102.53</v>
      </c>
      <c r="AG39" s="25">
        <f t="shared" ca="1" si="14"/>
        <v>-2.570786162160961E-2</v>
      </c>
      <c r="AH39" s="15" vm="232">
        <f ca="1">'Price Data'!R37</f>
        <v>144.63999999999999</v>
      </c>
      <c r="AI39" s="25">
        <f t="shared" ca="1" si="15"/>
        <v>3.0464909535450991E-2</v>
      </c>
      <c r="AJ39" s="15" vm="1087">
        <f ca="1">'Price Data'!S37</f>
        <v>170.77</v>
      </c>
      <c r="AK39" s="25">
        <f t="shared" ca="1" si="16"/>
        <v>-2.5732513175787818E-3</v>
      </c>
      <c r="AL39" s="15" vm="1088">
        <f ca="1">'Price Data'!T37</f>
        <v>284.69</v>
      </c>
      <c r="AM39" s="25">
        <f t="shared" ca="1" si="17"/>
        <v>-5.9555809429755024E-2</v>
      </c>
      <c r="AN39" s="15" vm="1089">
        <f ca="1">'Price Data'!U37</f>
        <v>139.06</v>
      </c>
      <c r="AO39" s="25">
        <f t="shared" ca="1" si="18"/>
        <v>-4.1966169272574932E-2</v>
      </c>
      <c r="AP39" s="15" vm="1090">
        <f ca="1">'Price Data'!V37</f>
        <v>91.44</v>
      </c>
      <c r="AQ39" s="25">
        <f t="shared" ca="1" si="19"/>
        <v>-3.7035306499112006E-2</v>
      </c>
      <c r="AR39" s="15" vm="1091">
        <f ca="1">'Price Data'!W37</f>
        <v>15.4</v>
      </c>
      <c r="AS39" s="25">
        <f t="shared" ca="1" si="20"/>
        <v>2.4984863083594766E-2</v>
      </c>
      <c r="AT39" s="15" vm="1092">
        <f ca="1">'Price Data'!X37</f>
        <v>45.37</v>
      </c>
      <c r="AU39" s="25">
        <f t="shared" ca="1" si="21"/>
        <v>1.3759648955008206E-2</v>
      </c>
      <c r="AV39" s="15" vm="1093">
        <f ca="1">'Price Data'!Y37</f>
        <v>30.56</v>
      </c>
      <c r="AW39" s="25">
        <f t="shared" ca="1" si="22"/>
        <v>-8.1953888660641377E-2</v>
      </c>
      <c r="AX39" s="15" vm="1094">
        <f ca="1">'Price Data'!Z37</f>
        <v>376.35</v>
      </c>
      <c r="AY39" s="25">
        <f t="shared" ca="1" si="23"/>
        <v>-5.066735121630675E-2</v>
      </c>
      <c r="AZ39" s="15" vm="1095">
        <f ca="1">'Price Data'!AA37</f>
        <v>338.11</v>
      </c>
      <c r="BA39" s="25">
        <f t="shared" ca="1" si="24"/>
        <v>6.8420525094058146E-2</v>
      </c>
      <c r="BB39" s="15" vm="1096">
        <f ca="1">'Price Data'!AB37</f>
        <v>120.86</v>
      </c>
      <c r="BC39" s="25">
        <f t="shared" ca="1" si="25"/>
        <v>-3.3200771132011357E-2</v>
      </c>
      <c r="BD39" s="15" vm="1097">
        <f ca="1">'Price Data'!AC37</f>
        <v>54.469499999999996</v>
      </c>
      <c r="BE39" s="25">
        <f t="shared" ca="1" si="26"/>
        <v>2.1526360301336471E-2</v>
      </c>
      <c r="BF39" s="15" vm="1098">
        <f ca="1">'Price Data'!AD37</f>
        <v>56.49</v>
      </c>
      <c r="BG39" s="25">
        <f t="shared" ca="1" si="27"/>
        <v>9.0691472498633692E-3</v>
      </c>
      <c r="BH39" s="15" vm="1099">
        <f ca="1">'Price Data'!AE37</f>
        <v>262.17</v>
      </c>
      <c r="BI39" s="25">
        <f t="shared" ca="1" si="28"/>
        <v>-4.8324897605461188E-3</v>
      </c>
      <c r="BJ39" s="15" vm="1100">
        <f ca="1">'Price Data'!AF37</f>
        <v>419.94</v>
      </c>
      <c r="BK39" s="25">
        <f t="shared" ca="1" si="29"/>
        <v>-2.2346904002543255E-2</v>
      </c>
    </row>
    <row r="40" spans="1:63" x14ac:dyDescent="0.25">
      <c r="A40" s="24">
        <f t="shared" ca="1" si="30"/>
        <v>45231</v>
      </c>
      <c r="B40" s="15" vm="1101">
        <f ca="1">'Price Data'!B38</f>
        <v>240.08</v>
      </c>
      <c r="C40" s="25">
        <f t="shared" ca="1" si="31"/>
        <v>0.17846362996560694</v>
      </c>
      <c r="D40" s="15" vm="1102">
        <f ca="1">'Price Data'!C38</f>
        <v>107.46</v>
      </c>
      <c r="E40" s="25">
        <f t="shared" ca="1" si="0"/>
        <v>0.23764895509030259</v>
      </c>
      <c r="F40" s="15" vm="1103">
        <f ca="1">'Price Data'!D38</f>
        <v>46.77</v>
      </c>
      <c r="G40" s="25">
        <f t="shared" ca="1" si="1"/>
        <v>0.13705020659148581</v>
      </c>
      <c r="H40" s="15" vm="501">
        <f ca="1">'Price Data'!E38</f>
        <v>39.4</v>
      </c>
      <c r="I40" s="25">
        <f t="shared" ca="1" si="2"/>
        <v>0.11813208133731389</v>
      </c>
      <c r="J40" s="15" vm="1104">
        <f ca="1">'Price Data'!F38</f>
        <v>327.14999999999998</v>
      </c>
      <c r="K40" s="25">
        <f t="shared" ca="1" si="3"/>
        <v>8.2411908673110434E-2</v>
      </c>
      <c r="L40" s="15" vm="1105">
        <f ca="1">'Price Data'!G38</f>
        <v>10.0977</v>
      </c>
      <c r="M40" s="25">
        <f t="shared" ca="1" si="4"/>
        <v>5.0982172399425825E-2</v>
      </c>
      <c r="N40" s="15" vm="1106">
        <f ca="1">'Price Data'!H38</f>
        <v>29.99</v>
      </c>
      <c r="O40" s="25">
        <f t="shared" ca="1" si="5"/>
        <v>0.11059817180604402</v>
      </c>
      <c r="P40" s="15" vm="1107">
        <f ca="1">'Price Data'!I38</f>
        <v>65.239999999999995</v>
      </c>
      <c r="Q40" s="25">
        <f t="shared" ca="1" si="6"/>
        <v>3.3778628770537813E-3</v>
      </c>
      <c r="R40" s="15" vm="1108">
        <f ca="1">'Price Data'!J38</f>
        <v>231.63</v>
      </c>
      <c r="S40" s="25">
        <f t="shared" ca="1" si="7"/>
        <v>0.21499568454413154</v>
      </c>
      <c r="T40" s="15" vm="1109">
        <f ca="1">'Price Data'!K38</f>
        <v>44.045000000000002</v>
      </c>
      <c r="U40" s="25">
        <f t="shared" ca="1" si="8"/>
        <v>0.12565821382965145</v>
      </c>
      <c r="V40" s="15" vm="1110">
        <f ca="1">'Price Data'!L38</f>
        <v>250.72</v>
      </c>
      <c r="W40" s="25">
        <f t="shared" ca="1" si="9"/>
        <v>0.10358056486709639</v>
      </c>
      <c r="X40" s="15" vm="1111">
        <f ca="1">'Price Data'!M38</f>
        <v>591.04</v>
      </c>
      <c r="Y40" s="25">
        <f t="shared" ca="1" si="10"/>
        <v>6.484537203751771E-2</v>
      </c>
      <c r="Z40" s="15" vm="1112">
        <f ca="1">'Price Data'!N38</f>
        <v>132.53</v>
      </c>
      <c r="AA40" s="25">
        <f t="shared" ca="1" si="11"/>
        <v>6.5882516024303936E-2</v>
      </c>
      <c r="AB40" s="15" vm="1113">
        <f ca="1">'Price Data'!O38</f>
        <v>82.830399999999997</v>
      </c>
      <c r="AC40" s="25">
        <f t="shared" ca="1" si="12"/>
        <v>8.5515899881265803E-2</v>
      </c>
      <c r="AD40" s="15" vm="1114">
        <f ca="1">'Price Data'!P38</f>
        <v>102.74</v>
      </c>
      <c r="AE40" s="25">
        <f t="shared" ca="1" si="13"/>
        <v>-2.9821472541752349E-2</v>
      </c>
      <c r="AF40" s="15" vm="1115">
        <f ca="1">'Price Data'!Q38</f>
        <v>122.24</v>
      </c>
      <c r="AG40" s="25">
        <f t="shared" ca="1" si="14"/>
        <v>0.17583088673621036</v>
      </c>
      <c r="AH40" s="15" vm="1116">
        <f ca="1">'Price Data'!R38</f>
        <v>158.56</v>
      </c>
      <c r="AI40" s="25">
        <f t="shared" ca="1" si="15"/>
        <v>9.1885173937811607E-2</v>
      </c>
      <c r="AJ40" s="15" vm="1117">
        <f ca="1">'Price Data'!S38</f>
        <v>189.95</v>
      </c>
      <c r="AK40" s="25">
        <f t="shared" ca="1" si="16"/>
        <v>0.10644325773448686</v>
      </c>
      <c r="AL40" s="15" vm="1118">
        <f ca="1">'Price Data'!T38</f>
        <v>313.49</v>
      </c>
      <c r="AM40" s="25">
        <f t="shared" ca="1" si="17"/>
        <v>9.6366592663144596E-2</v>
      </c>
      <c r="AN40" s="15" vm="1119">
        <f ca="1">'Price Data'!U38</f>
        <v>156.08000000000001</v>
      </c>
      <c r="AO40" s="25">
        <f t="shared" ca="1" si="18"/>
        <v>0.11546320164398398</v>
      </c>
      <c r="AP40" s="15" vm="1120">
        <f ca="1">'Price Data'!V38</f>
        <v>97.78</v>
      </c>
      <c r="AQ40" s="25">
        <f t="shared" ca="1" si="19"/>
        <v>6.7037037663944282E-2</v>
      </c>
      <c r="AR40" s="15" vm="1121">
        <f ca="1">'Price Data'!W38</f>
        <v>16.57</v>
      </c>
      <c r="AS40" s="25">
        <f t="shared" ca="1" si="20"/>
        <v>7.3226322018888124E-2</v>
      </c>
      <c r="AT40" s="15" vm="1122">
        <f ca="1">'Price Data'!X38</f>
        <v>44.27</v>
      </c>
      <c r="AU40" s="25">
        <f t="shared" ca="1" si="21"/>
        <v>-2.4543846931822738E-2</v>
      </c>
      <c r="AV40" s="15" vm="1123">
        <f ca="1">'Price Data'!Y38</f>
        <v>30.47</v>
      </c>
      <c r="AW40" s="25">
        <f t="shared" ca="1" si="22"/>
        <v>-2.9493713007021079E-3</v>
      </c>
      <c r="AX40" s="15" vm="1124">
        <f ca="1">'Price Data'!Z38</f>
        <v>413.83</v>
      </c>
      <c r="AY40" s="25">
        <f t="shared" ca="1" si="23"/>
        <v>9.4935699994677908E-2</v>
      </c>
      <c r="AZ40" s="15" vm="1125">
        <f ca="1">'Price Data'!AA38</f>
        <v>378.91</v>
      </c>
      <c r="BA40" s="25">
        <f t="shared" ca="1" si="24"/>
        <v>0.11392742353954131</v>
      </c>
      <c r="BB40" s="15" vm="1126">
        <f ca="1">'Price Data'!AB38</f>
        <v>125.55</v>
      </c>
      <c r="BC40" s="25">
        <f t="shared" ca="1" si="25"/>
        <v>3.8071234670181489E-2</v>
      </c>
      <c r="BD40" s="15" vm="1127">
        <f ca="1">'Price Data'!AC38</f>
        <v>51.896099999999997</v>
      </c>
      <c r="BE40" s="25">
        <f t="shared" ca="1" si="26"/>
        <v>-4.8397269148982056E-2</v>
      </c>
      <c r="BF40" s="15" vm="1128">
        <f ca="1">'Price Data'!AD38</f>
        <v>58.44</v>
      </c>
      <c r="BG40" s="25">
        <f t="shared" ca="1" si="27"/>
        <v>3.3936955545327878E-2</v>
      </c>
      <c r="BH40" s="15" vm="1129">
        <f ca="1">'Price Data'!AE38</f>
        <v>281.83999999999997</v>
      </c>
      <c r="BI40" s="25">
        <f t="shared" ca="1" si="28"/>
        <v>7.2346385725419515E-2</v>
      </c>
      <c r="BJ40" s="15" vm="1130">
        <f ca="1">'Price Data'!AF38</f>
        <v>458.42</v>
      </c>
      <c r="BK40" s="25">
        <f t="shared" ca="1" si="29"/>
        <v>8.7673950536716935E-2</v>
      </c>
    </row>
    <row r="41" spans="1:63" x14ac:dyDescent="0.25">
      <c r="A41" s="24">
        <f t="shared" ca="1" si="30"/>
        <v>45261</v>
      </c>
      <c r="B41" s="15" vm="1131">
        <f ca="1">'Price Data'!B39</f>
        <v>248.48</v>
      </c>
      <c r="C41" s="25">
        <f t="shared" ca="1" si="31"/>
        <v>3.439015826826522E-2</v>
      </c>
      <c r="D41" s="15" vm="1132">
        <f ca="1">'Price Data'!C39</f>
        <v>129.49</v>
      </c>
      <c r="E41" s="25">
        <f t="shared" ca="1" si="0"/>
        <v>0.18648497278007339</v>
      </c>
      <c r="F41" s="15" vm="1133">
        <f ca="1">'Price Data'!D39</f>
        <v>49.521999999999998</v>
      </c>
      <c r="G41" s="25">
        <f t="shared" ca="1" si="1"/>
        <v>5.7175043545116162E-2</v>
      </c>
      <c r="H41" s="15" vm="1134">
        <f ca="1">'Price Data'!E39</f>
        <v>41.26</v>
      </c>
      <c r="I41" s="25">
        <f t="shared" ca="1" si="2"/>
        <v>4.6127691339217652E-2</v>
      </c>
      <c r="J41" s="15" vm="1135">
        <f ca="1">'Price Data'!F39</f>
        <v>353.96</v>
      </c>
      <c r="K41" s="25">
        <f t="shared" ca="1" si="3"/>
        <v>7.8765131083401774E-2</v>
      </c>
      <c r="L41" s="15" vm="1136">
        <f ca="1">'Price Data'!G39</f>
        <v>11.997199999999999</v>
      </c>
      <c r="M41" s="25">
        <f t="shared" ca="1" si="4"/>
        <v>0.17236561408604045</v>
      </c>
      <c r="N41" s="15" vm="1137">
        <f ca="1">'Price Data'!H39</f>
        <v>36.840000000000003</v>
      </c>
      <c r="O41" s="25">
        <f t="shared" ca="1" si="5"/>
        <v>0.2057202186261885</v>
      </c>
      <c r="P41" s="15" vm="1138">
        <f ca="1">'Price Data'!I39</f>
        <v>76.23</v>
      </c>
      <c r="Q41" s="25">
        <f t="shared" ca="1" si="6"/>
        <v>0.15568230824736939</v>
      </c>
      <c r="R41" s="15" vm="1139">
        <f ca="1">'Price Data'!J39</f>
        <v>260.66000000000003</v>
      </c>
      <c r="S41" s="25">
        <f t="shared" ca="1" si="7"/>
        <v>0.11807560511373966</v>
      </c>
      <c r="T41" s="15" vm="1140">
        <f ca="1">'Price Data'!K39</f>
        <v>45.739199999999997</v>
      </c>
      <c r="U41" s="25">
        <f t="shared" ca="1" si="8"/>
        <v>3.7743859718137249E-2</v>
      </c>
      <c r="V41" s="15" vm="1141">
        <f ca="1">'Price Data'!L39</f>
        <v>295.67</v>
      </c>
      <c r="W41" s="25">
        <f t="shared" ca="1" si="9"/>
        <v>0.16490718892736755</v>
      </c>
      <c r="X41" s="15" vm="1142">
        <f ca="1">'Price Data'!M39</f>
        <v>582.91999999999996</v>
      </c>
      <c r="Y41" s="25">
        <f t="shared" ca="1" si="10"/>
        <v>-1.383374134537927E-2</v>
      </c>
      <c r="Z41" s="15" vm="1143">
        <f ca="1">'Price Data'!N39</f>
        <v>139.69</v>
      </c>
      <c r="AA41" s="25">
        <f t="shared" ca="1" si="11"/>
        <v>5.2616646846872117E-2</v>
      </c>
      <c r="AB41" s="15" vm="1144">
        <f ca="1">'Price Data'!O39</f>
        <v>91.400300000000001</v>
      </c>
      <c r="AC41" s="25">
        <f t="shared" ca="1" si="12"/>
        <v>9.8453616963740762E-2</v>
      </c>
      <c r="AD41" s="15" vm="1145">
        <f ca="1">'Price Data'!P39</f>
        <v>99.98</v>
      </c>
      <c r="AE41" s="25">
        <f t="shared" ca="1" si="13"/>
        <v>-2.7231359053697352E-2</v>
      </c>
      <c r="AF41" s="15" vm="1146">
        <f ca="1">'Price Data'!Q39</f>
        <v>128.54</v>
      </c>
      <c r="AG41" s="25">
        <f t="shared" ca="1" si="14"/>
        <v>5.0253814524929663E-2</v>
      </c>
      <c r="AH41" s="15" vm="1147">
        <f ca="1">'Price Data'!R39</f>
        <v>163.55000000000001</v>
      </c>
      <c r="AI41" s="25">
        <f t="shared" ca="1" si="15"/>
        <v>3.0985683402715201E-2</v>
      </c>
      <c r="AJ41" s="15" vm="1148">
        <f ca="1">'Price Data'!S39</f>
        <v>192.53</v>
      </c>
      <c r="AK41" s="25">
        <f t="shared" ca="1" si="16"/>
        <v>1.3491106107609537E-2</v>
      </c>
      <c r="AL41" s="15" vm="1149">
        <f ca="1">'Price Data'!T39</f>
        <v>346.55</v>
      </c>
      <c r="AM41" s="25">
        <f t="shared" ca="1" si="17"/>
        <v>0.10025964672640268</v>
      </c>
      <c r="AN41" s="15" vm="1150">
        <f ca="1">'Price Data'!U39</f>
        <v>170.1</v>
      </c>
      <c r="AO41" s="25">
        <f t="shared" ca="1" si="18"/>
        <v>8.6017803086960151E-2</v>
      </c>
      <c r="AP41" s="15" vm="1151">
        <f ca="1">'Price Data'!V39</f>
        <v>103.71</v>
      </c>
      <c r="AQ41" s="25">
        <f t="shared" ca="1" si="19"/>
        <v>5.8878485451143214E-2</v>
      </c>
      <c r="AR41" s="15" vm="1152">
        <f ca="1">'Price Data'!W39</f>
        <v>16.78</v>
      </c>
      <c r="AS41" s="25">
        <f t="shared" ca="1" si="20"/>
        <v>1.2593869600588533E-2</v>
      </c>
      <c r="AT41" s="15" vm="1153">
        <f ca="1">'Price Data'!X39</f>
        <v>45.71</v>
      </c>
      <c r="AU41" s="25">
        <f t="shared" ca="1" si="21"/>
        <v>3.2009845599603265E-2</v>
      </c>
      <c r="AV41" s="15" vm="1154">
        <f ca="1">'Price Data'!Y39</f>
        <v>28.79</v>
      </c>
      <c r="AW41" s="25">
        <f t="shared" ca="1" si="22"/>
        <v>-5.6714488373533115E-2</v>
      </c>
      <c r="AX41" s="15" vm="1155">
        <f ca="1">'Price Data'!Z39</f>
        <v>426.51</v>
      </c>
      <c r="AY41" s="25">
        <f t="shared" ca="1" si="23"/>
        <v>3.0180551840497186E-2</v>
      </c>
      <c r="AZ41" s="15" vm="1156">
        <f ca="1">'Price Data'!AA39</f>
        <v>376.04</v>
      </c>
      <c r="BA41" s="25">
        <f t="shared" ca="1" si="24"/>
        <v>-7.6031891538497461E-3</v>
      </c>
      <c r="BB41" s="15" vm="1157">
        <f ca="1">'Price Data'!AB39</f>
        <v>130.66</v>
      </c>
      <c r="BC41" s="25">
        <f t="shared" ca="1" si="25"/>
        <v>3.9894443809010229E-2</v>
      </c>
      <c r="BD41" s="15" vm="1158">
        <f ca="1">'Price Data'!AC39</f>
        <v>52.549500000000002</v>
      </c>
      <c r="BE41" s="25">
        <f t="shared" ca="1" si="26"/>
        <v>1.2511939690153205E-2</v>
      </c>
      <c r="BF41" s="15" vm="1159">
        <f ca="1">'Price Data'!AD39</f>
        <v>58.93</v>
      </c>
      <c r="BG41" s="25">
        <f t="shared" ca="1" si="27"/>
        <v>8.3497119673233075E-3</v>
      </c>
      <c r="BH41" s="15" vm="1160">
        <f ca="1">'Price Data'!AE39</f>
        <v>296.51</v>
      </c>
      <c r="BI41" s="25">
        <f t="shared" ca="1" si="28"/>
        <v>5.0741410648878132E-2</v>
      </c>
      <c r="BJ41" s="15" vm="1161">
        <f ca="1">'Price Data'!AF39</f>
        <v>477.63</v>
      </c>
      <c r="BK41" s="25">
        <f t="shared" ca="1" si="29"/>
        <v>4.1050579709802706E-2</v>
      </c>
    </row>
    <row r="42" spans="1:63" x14ac:dyDescent="0.25">
      <c r="A42" s="24">
        <f t="shared" ca="1" si="30"/>
        <v>45292</v>
      </c>
      <c r="B42" s="15" vm="1162">
        <f ca="1">'Price Data'!B40</f>
        <v>187.29</v>
      </c>
      <c r="C42" s="25">
        <f t="shared" ca="1" si="31"/>
        <v>-0.28270414165861452</v>
      </c>
      <c r="D42" s="15" vm="1163">
        <f ca="1">'Price Data'!C40</f>
        <v>127.5</v>
      </c>
      <c r="E42" s="25">
        <f t="shared" ca="1" si="0"/>
        <v>-1.5487293482267898E-2</v>
      </c>
      <c r="F42" s="15" vm="1164">
        <f ca="1">'Price Data'!D40</f>
        <v>61.527000000000001</v>
      </c>
      <c r="G42" s="25">
        <f t="shared" ca="1" si="1"/>
        <v>0.21705908757679437</v>
      </c>
      <c r="H42" s="15" vm="1165">
        <f ca="1">'Price Data'!E40</f>
        <v>41.38</v>
      </c>
      <c r="I42" s="25">
        <f t="shared" ca="1" si="2"/>
        <v>2.9041646742912785E-3</v>
      </c>
      <c r="J42" s="15" vm="1166">
        <f ca="1">'Price Data'!F40</f>
        <v>390.14</v>
      </c>
      <c r="K42" s="25">
        <f t="shared" ca="1" si="3"/>
        <v>9.7321736667637146E-2</v>
      </c>
      <c r="L42" s="15" vm="1167">
        <f ca="1">'Price Data'!G40</f>
        <v>11.534599999999999</v>
      </c>
      <c r="M42" s="25">
        <f t="shared" ca="1" si="4"/>
        <v>-3.9322075273543568E-2</v>
      </c>
      <c r="N42" s="15" vm="1168">
        <f ca="1">'Price Data'!H40</f>
        <v>32.450000000000003</v>
      </c>
      <c r="O42" s="25">
        <f t="shared" ca="1" si="5"/>
        <v>-0.12688376823700714</v>
      </c>
      <c r="P42" s="15" vm="1169">
        <f ca="1">'Price Data'!I40</f>
        <v>73.48</v>
      </c>
      <c r="Q42" s="25">
        <f t="shared" ca="1" si="6"/>
        <v>-3.6741825653257468E-2</v>
      </c>
      <c r="R42" s="15" vm="1170">
        <f ca="1">'Price Data'!J40</f>
        <v>211.04</v>
      </c>
      <c r="S42" s="25">
        <f t="shared" ca="1" si="7"/>
        <v>-0.21116918713356939</v>
      </c>
      <c r="T42" s="15" vm="1171">
        <f ca="1">'Price Data'!K40</f>
        <v>48.175400000000003</v>
      </c>
      <c r="U42" s="25">
        <f t="shared" ca="1" si="8"/>
        <v>5.1892819047817514E-2</v>
      </c>
      <c r="V42" s="15" vm="1172">
        <f ca="1">'Price Data'!L40</f>
        <v>300.31</v>
      </c>
      <c r="W42" s="25">
        <f t="shared" ca="1" si="9"/>
        <v>1.5571306933072635E-2</v>
      </c>
      <c r="X42" s="15" vm="1173">
        <f ca="1">'Price Data'!M40</f>
        <v>645.61</v>
      </c>
      <c r="Y42" s="25">
        <f t="shared" ca="1" si="10"/>
        <v>0.10214565063744499</v>
      </c>
      <c r="Z42" s="15" vm="1174">
        <f ca="1">'Price Data'!N40</f>
        <v>140.1</v>
      </c>
      <c r="AA42" s="25">
        <f t="shared" ca="1" si="11"/>
        <v>2.9307716035017329E-3</v>
      </c>
      <c r="AB42" s="15" vm="1175">
        <f ca="1">'Price Data'!O40</f>
        <v>78.884100000000004</v>
      </c>
      <c r="AC42" s="25">
        <f t="shared" ca="1" si="12"/>
        <v>-0.14726907409921522</v>
      </c>
      <c r="AD42" s="15" vm="1176">
        <f ca="1">'Price Data'!P40</f>
        <v>102.81</v>
      </c>
      <c r="AE42" s="25">
        <f t="shared" ca="1" si="13"/>
        <v>2.7912458569202735E-2</v>
      </c>
      <c r="AF42" s="15" vm="1177">
        <f ca="1">'Price Data'!Q40</f>
        <v>119.49</v>
      </c>
      <c r="AG42" s="25">
        <f t="shared" ca="1" si="14"/>
        <v>-7.300745408147756E-2</v>
      </c>
      <c r="AH42" s="15" vm="1178">
        <f ca="1">'Price Data'!R40</f>
        <v>183.66</v>
      </c>
      <c r="AI42" s="25">
        <f t="shared" ca="1" si="15"/>
        <v>0.11596746820098305</v>
      </c>
      <c r="AJ42" s="15" vm="1179">
        <f ca="1">'Price Data'!S40</f>
        <v>184.4</v>
      </c>
      <c r="AK42" s="25">
        <f t="shared" ca="1" si="16"/>
        <v>-4.3144674618750656E-2</v>
      </c>
      <c r="AL42" s="15" vm="1180">
        <f ca="1">'Price Data'!T40</f>
        <v>352.96</v>
      </c>
      <c r="AM42" s="25">
        <f t="shared" ca="1" si="17"/>
        <v>1.8327627701143948E-2</v>
      </c>
      <c r="AN42" s="15" vm="1181">
        <f ca="1">'Price Data'!U40</f>
        <v>174.36</v>
      </c>
      <c r="AO42" s="25">
        <f t="shared" ca="1" si="18"/>
        <v>2.4735627968375778E-2</v>
      </c>
      <c r="AP42" s="15" vm="1182">
        <f ca="1">'Price Data'!V40</f>
        <v>104.93</v>
      </c>
      <c r="AQ42" s="25">
        <f t="shared" ca="1" si="19"/>
        <v>1.1694918568176876E-2</v>
      </c>
      <c r="AR42" s="15" vm="1183">
        <f ca="1">'Price Data'!W40</f>
        <v>17.690000000000001</v>
      </c>
      <c r="AS42" s="25">
        <f t="shared" ca="1" si="20"/>
        <v>5.2811807132633698E-2</v>
      </c>
      <c r="AT42" s="15" vm="343">
        <f ca="1">'Price Data'!X40</f>
        <v>46.14</v>
      </c>
      <c r="AU42" s="25">
        <f t="shared" ca="1" si="21"/>
        <v>9.3631604019545449E-3</v>
      </c>
      <c r="AV42" s="15" vm="1184">
        <f ca="1">'Price Data'!Y40</f>
        <v>27.08</v>
      </c>
      <c r="AW42" s="25">
        <f t="shared" ca="1" si="22"/>
        <v>-6.1232656580010328E-2</v>
      </c>
      <c r="AX42" s="15" vm="1185">
        <f ca="1">'Price Data'!Z40</f>
        <v>449.23</v>
      </c>
      <c r="AY42" s="25">
        <f t="shared" ca="1" si="23"/>
        <v>5.1899192714786498E-2</v>
      </c>
      <c r="AZ42" s="15" vm="1186">
        <f ca="1">'Price Data'!AA40</f>
        <v>397.58</v>
      </c>
      <c r="BA42" s="25">
        <f t="shared" ca="1" si="24"/>
        <v>5.570065099602501E-2</v>
      </c>
      <c r="BB42" s="15" vm="1132">
        <f ca="1">'Price Data'!AB40</f>
        <v>129.49</v>
      </c>
      <c r="BC42" s="25">
        <f t="shared" ca="1" si="25"/>
        <v>-8.9948713318555029E-3</v>
      </c>
      <c r="BD42" s="15" vm="1187">
        <f ca="1">'Price Data'!AC40</f>
        <v>55.082799999999999</v>
      </c>
      <c r="BE42" s="25">
        <f t="shared" ca="1" si="26"/>
        <v>4.7081925187430637E-2</v>
      </c>
      <c r="BF42" s="15" vm="1188">
        <f ca="1">'Price Data'!AD40</f>
        <v>59.49</v>
      </c>
      <c r="BG42" s="25">
        <f t="shared" ca="1" si="27"/>
        <v>9.4579323499923516E-3</v>
      </c>
      <c r="BH42" s="15" vm="1189">
        <f ca="1">'Price Data'!AE40</f>
        <v>292.72000000000003</v>
      </c>
      <c r="BI42" s="25">
        <f t="shared" ca="1" si="28"/>
        <v>-1.286442397090865E-2</v>
      </c>
      <c r="BJ42" s="15" vm="1190">
        <f ca="1">'Price Data'!AF40</f>
        <v>485.2</v>
      </c>
      <c r="BK42" s="25">
        <f t="shared" ca="1" si="29"/>
        <v>1.5724802893872111E-2</v>
      </c>
    </row>
    <row r="43" spans="1:63" x14ac:dyDescent="0.25">
      <c r="A43" s="24">
        <f t="shared" ca="1" si="30"/>
        <v>45323</v>
      </c>
      <c r="B43" s="15" vm="1191">
        <f ca="1">'Price Data'!B41</f>
        <v>201.88</v>
      </c>
      <c r="C43" s="25">
        <f t="shared" ca="1" si="31"/>
        <v>7.5015243730299289E-2</v>
      </c>
      <c r="D43" s="15" vm="1192">
        <f ca="1">'Price Data'!C41</f>
        <v>123.35</v>
      </c>
      <c r="E43" s="25">
        <f t="shared" ca="1" si="0"/>
        <v>-3.3090521623115175E-2</v>
      </c>
      <c r="F43" s="15" vm="1193">
        <f ca="1">'Price Data'!D41</f>
        <v>79.111999999999995</v>
      </c>
      <c r="G43" s="25">
        <f t="shared" ca="1" si="1"/>
        <v>0.25138846710798413</v>
      </c>
      <c r="H43" s="15" vm="1194">
        <f ca="1">'Price Data'!E41</f>
        <v>45.49</v>
      </c>
      <c r="I43" s="25">
        <f t="shared" ca="1" si="2"/>
        <v>9.4694849264515768E-2</v>
      </c>
      <c r="J43" s="15" vm="1195">
        <f ca="1">'Price Data'!F41</f>
        <v>490.13</v>
      </c>
      <c r="K43" s="25">
        <f t="shared" ca="1" si="3"/>
        <v>0.22816501297288891</v>
      </c>
      <c r="L43" s="15" vm="1196">
        <f ca="1">'Price Data'!G41</f>
        <v>12.2432</v>
      </c>
      <c r="M43" s="25">
        <f t="shared" ca="1" si="4"/>
        <v>5.9619466869076126E-2</v>
      </c>
      <c r="N43" s="15" vm="1197">
        <f ca="1">'Price Data'!H41</f>
        <v>36.270000000000003</v>
      </c>
      <c r="O43" s="25">
        <f t="shared" ca="1" si="5"/>
        <v>0.11129051014471206</v>
      </c>
      <c r="P43" s="15" vm="1198">
        <f ca="1">'Price Data'!I41</f>
        <v>71.89</v>
      </c>
      <c r="Q43" s="25">
        <f t="shared" ca="1" si="6"/>
        <v>-2.1876087351144727E-2</v>
      </c>
      <c r="R43" s="15" vm="1199">
        <f ca="1">'Price Data'!J41</f>
        <v>203.72</v>
      </c>
      <c r="S43" s="25">
        <f t="shared" ca="1" si="7"/>
        <v>-3.5301186952600615E-2</v>
      </c>
      <c r="T43" s="15" vm="1200">
        <f ca="1">'Price Data'!K41</f>
        <v>53.775399999999998</v>
      </c>
      <c r="U43" s="25">
        <f t="shared" ca="1" si="8"/>
        <v>0.10996759619915883</v>
      </c>
      <c r="V43" s="15" vm="1201">
        <f ca="1">'Price Data'!L41</f>
        <v>333.96</v>
      </c>
      <c r="W43" s="25">
        <f t="shared" ca="1" si="9"/>
        <v>0.10620595085764879</v>
      </c>
      <c r="X43" s="15" vm="1202">
        <f ca="1">'Price Data'!M41</f>
        <v>753.68</v>
      </c>
      <c r="Y43" s="25">
        <f t="shared" ca="1" si="10"/>
        <v>0.15477226843747136</v>
      </c>
      <c r="Z43" s="15" vm="1203">
        <f ca="1">'Price Data'!N41</f>
        <v>138.46</v>
      </c>
      <c r="AA43" s="25">
        <f t="shared" ca="1" si="11"/>
        <v>-1.1774978093081898E-2</v>
      </c>
      <c r="AB43" s="15" vm="1204">
        <f ca="1">'Price Data'!O41</f>
        <v>77.0197</v>
      </c>
      <c r="AC43" s="25">
        <f t="shared" ca="1" si="12"/>
        <v>-2.3918453344220464E-2</v>
      </c>
      <c r="AD43" s="15" vm="1205">
        <f ca="1">'Price Data'!P41</f>
        <v>104.52</v>
      </c>
      <c r="AE43" s="25">
        <f t="shared" ca="1" si="13"/>
        <v>1.6495816097784593E-2</v>
      </c>
      <c r="AF43" s="15" vm="1206">
        <f ca="1">'Price Data'!Q41</f>
        <v>137.35</v>
      </c>
      <c r="AG43" s="25">
        <f t="shared" ca="1" si="14"/>
        <v>0.13929972667962037</v>
      </c>
      <c r="AH43" s="15" vm="1207">
        <f ca="1">'Price Data'!R41</f>
        <v>185.03</v>
      </c>
      <c r="AI43" s="25">
        <f t="shared" ca="1" si="15"/>
        <v>7.4317519082487188E-3</v>
      </c>
      <c r="AJ43" s="15" vm="1208">
        <f ca="1">'Price Data'!S41</f>
        <v>180.75</v>
      </c>
      <c r="AK43" s="25">
        <f t="shared" ca="1" si="16"/>
        <v>-1.9992450083619367E-2</v>
      </c>
      <c r="AL43" s="15" vm="1209">
        <f ca="1">'Price Data'!T41</f>
        <v>380.61</v>
      </c>
      <c r="AM43" s="25">
        <f t="shared" ca="1" si="17"/>
        <v>7.5420492755479046E-2</v>
      </c>
      <c r="AN43" s="15" vm="1210">
        <f ca="1">'Price Data'!U41</f>
        <v>186.06</v>
      </c>
      <c r="AO43" s="25">
        <f t="shared" ca="1" si="18"/>
        <v>6.4947074970220633E-2</v>
      </c>
      <c r="AP43" s="15" vm="1211">
        <f ca="1">'Price Data'!V41</f>
        <v>108.99</v>
      </c>
      <c r="AQ43" s="25">
        <f t="shared" ca="1" si="19"/>
        <v>3.7962673731400533E-2</v>
      </c>
      <c r="AR43" s="15" vm="1212">
        <f ca="1">'Price Data'!W41</f>
        <v>16.93</v>
      </c>
      <c r="AS43" s="25">
        <f t="shared" ca="1" si="20"/>
        <v>-4.3912312026650087E-2</v>
      </c>
      <c r="AT43" s="15" vm="1213">
        <f ca="1">'Price Data'!X41</f>
        <v>49.61</v>
      </c>
      <c r="AU43" s="25">
        <f t="shared" ca="1" si="21"/>
        <v>7.2512173567349944E-2</v>
      </c>
      <c r="AV43" s="15" vm="1214">
        <f ca="1">'Price Data'!Y41</f>
        <v>26.56</v>
      </c>
      <c r="AW43" s="25">
        <f t="shared" ca="1" si="22"/>
        <v>-1.9389123435841153E-2</v>
      </c>
      <c r="AX43" s="15" vm="1215">
        <f ca="1">'Price Data'!Z41</f>
        <v>474.76</v>
      </c>
      <c r="AY43" s="25">
        <f t="shared" ca="1" si="23"/>
        <v>5.527440715780154E-2</v>
      </c>
      <c r="AZ43" s="15" vm="1216">
        <f ca="1">'Price Data'!AA41</f>
        <v>413.64</v>
      </c>
      <c r="BA43" s="25">
        <f t="shared" ca="1" si="24"/>
        <v>3.9599858610399115E-2</v>
      </c>
      <c r="BB43" s="15" vm="1217">
        <f ca="1">'Price Data'!AB41</f>
        <v>138.41999999999999</v>
      </c>
      <c r="BC43" s="25">
        <f t="shared" ca="1" si="25"/>
        <v>6.6688883332968393E-2</v>
      </c>
      <c r="BD43" s="15" vm="1218">
        <f ca="1">'Price Data'!AC41</f>
        <v>58.61</v>
      </c>
      <c r="BE43" s="25">
        <f t="shared" ca="1" si="26"/>
        <v>6.2067822771071854E-2</v>
      </c>
      <c r="BF43" s="15" vm="1219">
        <f ca="1">'Price Data'!AD41</f>
        <v>60.02</v>
      </c>
      <c r="BG43" s="25">
        <f t="shared" ca="1" si="27"/>
        <v>8.8696088124067679E-3</v>
      </c>
      <c r="BH43" s="15" vm="1220">
        <f ca="1">'Price Data'!AE41</f>
        <v>292.27999999999997</v>
      </c>
      <c r="BI43" s="25">
        <f t="shared" ca="1" si="28"/>
        <v>-1.5042737879344497E-3</v>
      </c>
      <c r="BJ43" s="15" vm="1221">
        <f ca="1">'Price Data'!AF41</f>
        <v>510.45</v>
      </c>
      <c r="BK43" s="25">
        <f t="shared" ca="1" si="29"/>
        <v>5.0731512545129288E-2</v>
      </c>
    </row>
    <row r="44" spans="1:63" x14ac:dyDescent="0.25">
      <c r="A44" s="24">
        <f t="shared" ca="1" si="30"/>
        <v>45352</v>
      </c>
      <c r="B44" s="15" vm="1222">
        <f ca="1">'Price Data'!B42</f>
        <v>175.79</v>
      </c>
      <c r="C44" s="25">
        <f t="shared" ca="1" si="31"/>
        <v>-0.13838336066026199</v>
      </c>
      <c r="D44" s="15" vm="1223">
        <f ca="1">'Price Data'!C42</f>
        <v>139.01</v>
      </c>
      <c r="E44" s="25">
        <f t="shared" ca="1" si="0"/>
        <v>0.11952003001363547</v>
      </c>
      <c r="F44" s="15" vm="1224">
        <f ca="1">'Price Data'!D42</f>
        <v>90.355999999999995</v>
      </c>
      <c r="G44" s="25">
        <f t="shared" ca="1" si="1"/>
        <v>0.13289285327733893</v>
      </c>
      <c r="H44" s="15" vm="1225">
        <f ca="1">'Price Data'!E42</f>
        <v>47.88</v>
      </c>
      <c r="I44" s="25">
        <f t="shared" ca="1" si="2"/>
        <v>5.1205359107859671E-2</v>
      </c>
      <c r="J44" s="15" vm="1226">
        <f ca="1">'Price Data'!F42</f>
        <v>485.58</v>
      </c>
      <c r="K44" s="25">
        <f t="shared" ca="1" si="3"/>
        <v>-9.3266093040099748E-3</v>
      </c>
      <c r="L44" s="15" vm="1227">
        <f ca="1">'Price Data'!G42</f>
        <v>13.069900000000001</v>
      </c>
      <c r="M44" s="25">
        <f t="shared" ca="1" si="4"/>
        <v>6.5341195673707914E-2</v>
      </c>
      <c r="N44" s="15" vm="363">
        <f ca="1">'Price Data'!H42</f>
        <v>43.74</v>
      </c>
      <c r="O44" s="25">
        <f t="shared" ca="1" si="5"/>
        <v>0.18727206195381083</v>
      </c>
      <c r="P44" s="15" vm="1228">
        <f ca="1">'Price Data'!I42</f>
        <v>66.599999999999994</v>
      </c>
      <c r="Q44" s="25">
        <f t="shared" ca="1" si="6"/>
        <v>-7.6432595449436785E-2</v>
      </c>
      <c r="R44" s="15" vm="1229">
        <f ca="1">'Price Data'!J42</f>
        <v>192.99</v>
      </c>
      <c r="S44" s="25">
        <f t="shared" ca="1" si="7"/>
        <v>-5.4108127925385156E-2</v>
      </c>
      <c r="T44" s="15" vm="1230">
        <f ca="1">'Price Data'!K42</f>
        <v>58.135399999999997</v>
      </c>
      <c r="U44" s="25">
        <f t="shared" ca="1" si="8"/>
        <v>7.7958659106709793E-2</v>
      </c>
      <c r="V44" s="15" vm="1231">
        <f ca="1">'Price Data'!L42</f>
        <v>366.43</v>
      </c>
      <c r="W44" s="25">
        <f t="shared" ca="1" si="9"/>
        <v>9.2786281851634969E-2</v>
      </c>
      <c r="X44" s="15" vm="1232">
        <f ca="1">'Price Data'!M42</f>
        <v>777.96</v>
      </c>
      <c r="Y44" s="25">
        <f t="shared" ca="1" si="10"/>
        <v>3.1707234234492322E-2</v>
      </c>
      <c r="Z44" s="15" vm="1233">
        <f ca="1">'Price Data'!N42</f>
        <v>150.93</v>
      </c>
      <c r="AA44" s="25">
        <f t="shared" ca="1" si="11"/>
        <v>8.6234677921457406E-2</v>
      </c>
      <c r="AB44" s="15" vm="1234">
        <f ca="1">'Price Data'!O42</f>
        <v>88.683000000000007</v>
      </c>
      <c r="AC44" s="25">
        <f t="shared" ca="1" si="12"/>
        <v>0.14100698038823656</v>
      </c>
      <c r="AD44" s="15" vm="1235">
        <f ca="1">'Price Data'!P42</f>
        <v>116.24</v>
      </c>
      <c r="AE44" s="25">
        <f t="shared" ca="1" si="13"/>
        <v>0.1062785786096158</v>
      </c>
      <c r="AF44" s="15" vm="1236">
        <f ca="1">'Price Data'!Q42</f>
        <v>148.87</v>
      </c>
      <c r="AG44" s="25">
        <f t="shared" ca="1" si="14"/>
        <v>8.0541029347682994E-2</v>
      </c>
      <c r="AH44" s="15" vm="1237">
        <f ca="1">'Price Data'!R42</f>
        <v>190.96</v>
      </c>
      <c r="AI44" s="25">
        <f t="shared" ca="1" si="15"/>
        <v>3.1546007936949901E-2</v>
      </c>
      <c r="AJ44" s="15" vm="1238">
        <f ca="1">'Price Data'!S42</f>
        <v>171.48</v>
      </c>
      <c r="AK44" s="25">
        <f t="shared" ca="1" si="16"/>
        <v>-5.2648219309097806E-2</v>
      </c>
      <c r="AL44" s="15" vm="1239">
        <f ca="1">'Price Data'!T42</f>
        <v>383.6</v>
      </c>
      <c r="AM44" s="25">
        <f t="shared" ca="1" si="17"/>
        <v>7.8251141886665175E-3</v>
      </c>
      <c r="AN44" s="15" vm="1240">
        <f ca="1">'Price Data'!U42</f>
        <v>200.3</v>
      </c>
      <c r="AO44" s="25">
        <f t="shared" ca="1" si="18"/>
        <v>7.3747040331360078E-2</v>
      </c>
      <c r="AP44" s="15" vm="1241">
        <f ca="1">'Price Data'!V42</f>
        <v>117.4</v>
      </c>
      <c r="AQ44" s="25">
        <f t="shared" ca="1" si="19"/>
        <v>7.4330772492775962E-2</v>
      </c>
      <c r="AR44" s="15" vm="1242">
        <f ca="1">'Price Data'!W42</f>
        <v>17.600000000000001</v>
      </c>
      <c r="AS44" s="25">
        <f t="shared" ca="1" si="20"/>
        <v>3.8811705899062326E-2</v>
      </c>
      <c r="AT44" s="15" vm="1243">
        <f ca="1">'Price Data'!X42</f>
        <v>57.13</v>
      </c>
      <c r="AU44" s="25">
        <f t="shared" ca="1" si="21"/>
        <v>0.14113694642341373</v>
      </c>
      <c r="AV44" s="15" vm="1244">
        <f ca="1">'Price Data'!Y42</f>
        <v>27.75</v>
      </c>
      <c r="AW44" s="25">
        <f t="shared" ca="1" si="22"/>
        <v>4.382951558421036E-2</v>
      </c>
      <c r="AX44" s="15" vm="1245">
        <f ca="1">'Price Data'!Z42</f>
        <v>481.57</v>
      </c>
      <c r="AY44" s="25">
        <f t="shared" ca="1" si="23"/>
        <v>1.4242186507253252E-2</v>
      </c>
      <c r="AZ44" s="15" vm="1246">
        <f ca="1">'Price Data'!AA42</f>
        <v>420.72</v>
      </c>
      <c r="BA44" s="25">
        <f t="shared" ca="1" si="24"/>
        <v>1.697149896431446E-2</v>
      </c>
      <c r="BB44" s="15" vm="1247">
        <f ca="1">'Price Data'!AB42</f>
        <v>138.65</v>
      </c>
      <c r="BC44" s="25">
        <f t="shared" ca="1" si="25"/>
        <v>1.6602306480698588E-3</v>
      </c>
      <c r="BD44" s="15" vm="1248">
        <f ca="1">'Price Data'!AC42</f>
        <v>60.17</v>
      </c>
      <c r="BE44" s="25">
        <f t="shared" ca="1" si="26"/>
        <v>2.6268558743922525E-2</v>
      </c>
      <c r="BF44" s="15" vm="1249">
        <f ca="1">'Price Data'!AD42</f>
        <v>61.18</v>
      </c>
      <c r="BG44" s="25">
        <f t="shared" ca="1" si="27"/>
        <v>1.9142498710536242E-2</v>
      </c>
      <c r="BH44" s="15" vm="1250">
        <f ca="1">'Price Data'!AE42</f>
        <v>281.95</v>
      </c>
      <c r="BI44" s="25">
        <f t="shared" ca="1" si="28"/>
        <v>-3.5982496669825885E-2</v>
      </c>
      <c r="BJ44" s="15" vm="1251">
        <f ca="1">'Price Data'!AF42</f>
        <v>525.73</v>
      </c>
      <c r="BK44" s="25">
        <f t="shared" ca="1" si="29"/>
        <v>2.949508335025066E-2</v>
      </c>
    </row>
    <row r="45" spans="1:63" x14ac:dyDescent="0.25">
      <c r="A45" s="24">
        <f t="shared" ca="1" si="30"/>
        <v>45383</v>
      </c>
      <c r="B45" s="15" vm="1252">
        <f ca="1">'Price Data'!B43</f>
        <v>183.28</v>
      </c>
      <c r="C45" s="25">
        <f t="shared" ca="1" si="31"/>
        <v>4.172493733344055E-2</v>
      </c>
      <c r="D45" s="15" vm="1253">
        <f ca="1">'Price Data'!C43</f>
        <v>139.63</v>
      </c>
      <c r="E45" s="25">
        <f t="shared" ca="1" si="0"/>
        <v>4.4501939651020164E-3</v>
      </c>
      <c r="F45" s="15" vm="1254">
        <f ca="1">'Price Data'!D43</f>
        <v>86.402000000000001</v>
      </c>
      <c r="G45" s="25">
        <f t="shared" ca="1" si="1"/>
        <v>-4.4746599554784765E-2</v>
      </c>
      <c r="H45" s="15" vm="1255">
        <f ca="1">'Price Data'!E43</f>
        <v>51.46</v>
      </c>
      <c r="I45" s="25">
        <f t="shared" ca="1" si="2"/>
        <v>7.2106926163825677E-2</v>
      </c>
      <c r="J45" s="15" vm="1256">
        <f ca="1">'Price Data'!F43</f>
        <v>430.17</v>
      </c>
      <c r="K45" s="25">
        <f t="shared" ca="1" si="3"/>
        <v>-0.12116357334060791</v>
      </c>
      <c r="L45" s="15" vm="1257">
        <f ca="1">'Price Data'!G43</f>
        <v>11.957800000000001</v>
      </c>
      <c r="M45" s="25">
        <f t="shared" ca="1" si="4"/>
        <v>-8.8928091383488658E-2</v>
      </c>
      <c r="N45" s="15" vm="1258">
        <f ca="1">'Price Data'!H43</f>
        <v>34.39</v>
      </c>
      <c r="O45" s="25">
        <f t="shared" ca="1" si="5"/>
        <v>-0.24049719080444704</v>
      </c>
      <c r="P45" s="15" vm="1259">
        <f ca="1">'Price Data'!I43</f>
        <v>61.69</v>
      </c>
      <c r="Q45" s="25">
        <f t="shared" ca="1" si="6"/>
        <v>-7.6582734324796162E-2</v>
      </c>
      <c r="R45" s="15" vm="1260">
        <f ca="1">'Price Data'!J43</f>
        <v>167.84</v>
      </c>
      <c r="S45" s="25">
        <f t="shared" ca="1" si="7"/>
        <v>-0.13962722944303166</v>
      </c>
      <c r="T45" s="15" vm="1261">
        <f ca="1">'Price Data'!K43</f>
        <v>63.192</v>
      </c>
      <c r="U45" s="25">
        <f t="shared" ca="1" si="8"/>
        <v>8.3402938228535478E-2</v>
      </c>
      <c r="V45" s="15" vm="1262">
        <f ca="1">'Price Data'!L43</f>
        <v>334.57</v>
      </c>
      <c r="W45" s="25">
        <f t="shared" ca="1" si="9"/>
        <v>-9.0961381939025976E-2</v>
      </c>
      <c r="X45" s="15" vm="1263">
        <f ca="1">'Price Data'!M43</f>
        <v>781.1</v>
      </c>
      <c r="Y45" s="25">
        <f t="shared" ca="1" si="10"/>
        <v>4.0280736413470753E-3</v>
      </c>
      <c r="Z45" s="15" vm="1264">
        <f ca="1">'Price Data'!N43</f>
        <v>162.78</v>
      </c>
      <c r="AA45" s="25">
        <f t="shared" ca="1" si="11"/>
        <v>7.5583442727558375E-2</v>
      </c>
      <c r="AB45" s="15" vm="1265">
        <f ca="1">'Price Data'!O43</f>
        <v>96.51</v>
      </c>
      <c r="AC45" s="25">
        <f t="shared" ca="1" si="12"/>
        <v>8.4578416243815041E-2</v>
      </c>
      <c r="AD45" s="15" vm="1266">
        <f ca="1">'Price Data'!P43</f>
        <v>118.27</v>
      </c>
      <c r="AE45" s="25">
        <f t="shared" ca="1" si="13"/>
        <v>1.7313127000998078E-2</v>
      </c>
      <c r="AF45" s="15" vm="1267">
        <f ca="1">'Price Data'!Q43</f>
        <v>144.47</v>
      </c>
      <c r="AG45" s="25">
        <f t="shared" ca="1" si="14"/>
        <v>-3.0001568347675936E-2</v>
      </c>
      <c r="AH45" s="15" vm="1268">
        <f ca="1">'Price Data'!R43</f>
        <v>166.2</v>
      </c>
      <c r="AI45" s="25">
        <f t="shared" ca="1" si="15"/>
        <v>-0.13887209960922692</v>
      </c>
      <c r="AJ45" s="15" vm="1269">
        <f ca="1">'Price Data'!S43</f>
        <v>170.33</v>
      </c>
      <c r="AK45" s="25">
        <f t="shared" ca="1" si="16"/>
        <v>-6.7289098572903012E-3</v>
      </c>
      <c r="AL45" s="15" vm="1270">
        <f ca="1">'Price Data'!T43</f>
        <v>334.22</v>
      </c>
      <c r="AM45" s="25">
        <f t="shared" ca="1" si="17"/>
        <v>-0.13780088423404657</v>
      </c>
      <c r="AN45" s="15" vm="1271">
        <f ca="1">'Price Data'!U43</f>
        <v>191.74</v>
      </c>
      <c r="AO45" s="25">
        <f t="shared" ca="1" si="18"/>
        <v>-4.3675955022922035E-2</v>
      </c>
      <c r="AP45" s="15" vm="1272">
        <f ca="1">'Price Data'!V43</f>
        <v>110.48</v>
      </c>
      <c r="AQ45" s="25">
        <f t="shared" ca="1" si="19"/>
        <v>-6.075239829295942E-2</v>
      </c>
      <c r="AR45" s="15" vm="1273">
        <f ca="1">'Price Data'!W43</f>
        <v>16.89</v>
      </c>
      <c r="AS45" s="25">
        <f t="shared" ca="1" si="20"/>
        <v>-4.1177171224397451E-2</v>
      </c>
      <c r="AT45" s="15" vm="1274">
        <f ca="1">'Price Data'!X43</f>
        <v>55.38</v>
      </c>
      <c r="AU45" s="25">
        <f t="shared" ca="1" si="21"/>
        <v>-3.1110854993555419E-2</v>
      </c>
      <c r="AV45" s="15" vm="1275">
        <f ca="1">'Price Data'!Y43</f>
        <v>25.62</v>
      </c>
      <c r="AW45" s="25">
        <f t="shared" ca="1" si="22"/>
        <v>-7.9862543723855317E-2</v>
      </c>
      <c r="AX45" s="15" vm="1276">
        <f ca="1">'Price Data'!Z43</f>
        <v>451.2</v>
      </c>
      <c r="AY45" s="25">
        <f t="shared" ca="1" si="23"/>
        <v>-6.5140899511708567E-2</v>
      </c>
      <c r="AZ45" s="15" vm="1277">
        <f ca="1">'Price Data'!AA43</f>
        <v>389.33</v>
      </c>
      <c r="BA45" s="25">
        <f t="shared" ca="1" si="24"/>
        <v>-7.7540216241512847E-2</v>
      </c>
      <c r="BB45" s="15" vm="1278">
        <f ca="1">'Price Data'!AB43</f>
        <v>141.25</v>
      </c>
      <c r="BC45" s="25">
        <f t="shared" ca="1" si="25"/>
        <v>1.8578597964763202E-2</v>
      </c>
      <c r="BD45" s="15" vm="1279">
        <f ca="1">'Price Data'!AC43</f>
        <v>59.35</v>
      </c>
      <c r="BE45" s="25">
        <f t="shared" ca="1" si="26"/>
        <v>-1.3721768176583327E-2</v>
      </c>
      <c r="BF45" s="15" vm="1280">
        <f ca="1">'Price Data'!AD43</f>
        <v>61.77</v>
      </c>
      <c r="BG45" s="25">
        <f t="shared" ca="1" si="27"/>
        <v>9.5974709850504304E-3</v>
      </c>
      <c r="BH45" s="15" vm="1281">
        <f ca="1">'Price Data'!AE43</f>
        <v>273.04000000000002</v>
      </c>
      <c r="BI45" s="25">
        <f t="shared" ca="1" si="28"/>
        <v>-3.211144565473939E-2</v>
      </c>
      <c r="BJ45" s="15" vm="1282">
        <f ca="1">'Price Data'!AF43</f>
        <v>504.44</v>
      </c>
      <c r="BK45" s="25">
        <f t="shared" ca="1" si="29"/>
        <v>-4.1338869877601256E-2</v>
      </c>
    </row>
    <row r="46" spans="1:63" x14ac:dyDescent="0.25">
      <c r="A46" s="24">
        <f t="shared" ca="1" si="30"/>
        <v>45413</v>
      </c>
      <c r="B46" s="15" vm="1283">
        <f ca="1">'Price Data'!B44</f>
        <v>178.08</v>
      </c>
      <c r="C46" s="25">
        <f t="shared" ca="1" si="31"/>
        <v>-2.8782150618005268E-2</v>
      </c>
      <c r="D46" s="15" vm="1284">
        <f ca="1">'Price Data'!C44</f>
        <v>147.68</v>
      </c>
      <c r="E46" s="25">
        <f t="shared" ca="1" si="0"/>
        <v>5.6051703800438779E-2</v>
      </c>
      <c r="F46" s="15" vm="1285">
        <f ca="1">'Price Data'!D44</f>
        <v>109.633</v>
      </c>
      <c r="G46" s="25">
        <f t="shared" ca="1" si="1"/>
        <v>0.23812760039421249</v>
      </c>
      <c r="H46" s="15" vm="1286">
        <f ca="1">'Price Data'!E44</f>
        <v>52.99</v>
      </c>
      <c r="I46" s="25">
        <f t="shared" ca="1" si="2"/>
        <v>2.9298409651072704E-2</v>
      </c>
      <c r="J46" s="15" vm="1287">
        <f ca="1">'Price Data'!F44</f>
        <v>466.83</v>
      </c>
      <c r="K46" s="25">
        <f t="shared" ca="1" si="3"/>
        <v>8.178468630447068E-2</v>
      </c>
      <c r="L46" s="15" vm="1020">
        <f ca="1">'Price Data'!G44</f>
        <v>11.9381</v>
      </c>
      <c r="M46" s="25">
        <f t="shared" ca="1" si="4"/>
        <v>-1.6488187900887755E-3</v>
      </c>
      <c r="N46" s="15" vm="1288">
        <f ca="1">'Price Data'!H44</f>
        <v>35.880000000000003</v>
      </c>
      <c r="O46" s="25">
        <f t="shared" ca="1" si="5"/>
        <v>4.2414212746420522E-2</v>
      </c>
      <c r="P46" s="15" vm="1289">
        <f ca="1">'Price Data'!I44</f>
        <v>46.46</v>
      </c>
      <c r="Q46" s="25">
        <f t="shared" ca="1" si="6"/>
        <v>-0.28353011587928417</v>
      </c>
      <c r="R46" s="15" vm="1290">
        <f ca="1">'Price Data'!J44</f>
        <v>177.61</v>
      </c>
      <c r="S46" s="25">
        <f t="shared" ca="1" si="7"/>
        <v>5.6578990631248535E-2</v>
      </c>
      <c r="T46" s="15" vm="1291">
        <f ca="1">'Price Data'!K44</f>
        <v>62.590400000000002</v>
      </c>
      <c r="U46" s="25">
        <f t="shared" ca="1" si="8"/>
        <v>-9.565799148676897E-3</v>
      </c>
      <c r="V46" s="15" vm="1292">
        <f ca="1">'Price Data'!L44</f>
        <v>338.52</v>
      </c>
      <c r="W46" s="25">
        <f t="shared" ca="1" si="9"/>
        <v>1.173704956349654E-2</v>
      </c>
      <c r="X46" s="15" vm="1293">
        <f ca="1">'Price Data'!M44</f>
        <v>820.34</v>
      </c>
      <c r="Y46" s="25">
        <f t="shared" ca="1" si="10"/>
        <v>4.9015705851405189E-2</v>
      </c>
      <c r="Z46" s="15" vm="1294">
        <f ca="1">'Price Data'!N44</f>
        <v>172.5</v>
      </c>
      <c r="AA46" s="25">
        <f t="shared" ca="1" si="11"/>
        <v>5.7997640572519008E-2</v>
      </c>
      <c r="AB46" s="15" vm="1295">
        <f ca="1">'Price Data'!O44</f>
        <v>100.14</v>
      </c>
      <c r="AC46" s="25">
        <f t="shared" ca="1" si="12"/>
        <v>3.6922576982754036E-2</v>
      </c>
      <c r="AD46" s="15" vm="1296">
        <f ca="1">'Price Data'!P44</f>
        <v>117.26</v>
      </c>
      <c r="AE46" s="25">
        <f t="shared" ca="1" si="13"/>
        <v>-8.5764547269564298E-3</v>
      </c>
      <c r="AF46" s="15" vm="1297">
        <f ca="1">'Price Data'!Q44</f>
        <v>163.85</v>
      </c>
      <c r="AG46" s="25">
        <f t="shared" ca="1" si="14"/>
        <v>0.12587950160353362</v>
      </c>
      <c r="AH46" s="15" vm="1298">
        <f ca="1">'Price Data'!R44</f>
        <v>166.85</v>
      </c>
      <c r="AI46" s="25">
        <f t="shared" ca="1" si="15"/>
        <v>3.903322776035327E-3</v>
      </c>
      <c r="AJ46" s="15" vm="1299">
        <f ca="1">'Price Data'!S44</f>
        <v>192.25</v>
      </c>
      <c r="AK46" s="25">
        <f t="shared" ca="1" si="16"/>
        <v>0.12105887651326751</v>
      </c>
      <c r="AL46" s="15" vm="1300">
        <f ca="1">'Price Data'!T44</f>
        <v>334.87</v>
      </c>
      <c r="AM46" s="25">
        <f t="shared" ca="1" si="17"/>
        <v>1.9429380336863141E-3</v>
      </c>
      <c r="AN46" s="15" vm="1301">
        <f ca="1">'Price Data'!U44</f>
        <v>202.63</v>
      </c>
      <c r="AO46" s="25">
        <f t="shared" ca="1" si="18"/>
        <v>5.5241368228387204E-2</v>
      </c>
      <c r="AP46" s="15" vm="1302">
        <f ca="1">'Price Data'!V44</f>
        <v>120.35</v>
      </c>
      <c r="AQ46" s="25">
        <f t="shared" ca="1" si="19"/>
        <v>8.5569655128044264E-2</v>
      </c>
      <c r="AR46" s="15" vm="1303">
        <f ca="1">'Price Data'!W44</f>
        <v>18.22</v>
      </c>
      <c r="AS46" s="25">
        <f t="shared" ca="1" si="20"/>
        <v>7.5798161012103404E-2</v>
      </c>
      <c r="AT46" s="15" vm="1304">
        <f ca="1">'Price Data'!X44</f>
        <v>52.37</v>
      </c>
      <c r="AU46" s="25">
        <f t="shared" ca="1" si="21"/>
        <v>-5.5884609451419522E-2</v>
      </c>
      <c r="AV46" s="15" vm="1305">
        <f ca="1">'Price Data'!Y44</f>
        <v>28.66</v>
      </c>
      <c r="AW46" s="25">
        <f t="shared" ca="1" si="22"/>
        <v>0.11212912593143752</v>
      </c>
      <c r="AX46" s="15" vm="1306">
        <f ca="1">'Price Data'!Z44</f>
        <v>447.07</v>
      </c>
      <c r="AY46" s="25">
        <f t="shared" ca="1" si="23"/>
        <v>-9.1955182781375926E-3</v>
      </c>
      <c r="AZ46" s="15" vm="1307">
        <f ca="1">'Price Data'!AA44</f>
        <v>415.13</v>
      </c>
      <c r="BA46" s="25">
        <f t="shared" ca="1" si="24"/>
        <v>6.4164411149689585E-2</v>
      </c>
      <c r="BB46" s="15" vm="1308">
        <f ca="1">'Price Data'!AB44</f>
        <v>137.43</v>
      </c>
      <c r="BC46" s="25">
        <f t="shared" ca="1" si="25"/>
        <v>-2.7416673459789865E-2</v>
      </c>
      <c r="BD46" s="15" vm="1309">
        <f ca="1">'Price Data'!AC44</f>
        <v>65.760000000000005</v>
      </c>
      <c r="BE46" s="25">
        <f t="shared" ca="1" si="26"/>
        <v>0.10255962969224756</v>
      </c>
      <c r="BF46" s="15" vm="1310">
        <f ca="1">'Price Data'!AD44</f>
        <v>62.93</v>
      </c>
      <c r="BG46" s="25">
        <f t="shared" ca="1" si="27"/>
        <v>1.8605187831034486E-2</v>
      </c>
      <c r="BH46" s="15" vm="1311">
        <f ca="1">'Price Data'!AE44</f>
        <v>258.89</v>
      </c>
      <c r="BI46" s="25">
        <f t="shared" ca="1" si="28"/>
        <v>-5.3215043538641274E-2</v>
      </c>
      <c r="BJ46" s="15" vm="1312">
        <f ca="1">'Price Data'!AF44</f>
        <v>529.96</v>
      </c>
      <c r="BK46" s="25">
        <f t="shared" ca="1" si="29"/>
        <v>4.9352628912248675E-2</v>
      </c>
    </row>
    <row r="47" spans="1:63" x14ac:dyDescent="0.25">
      <c r="A47" s="24">
        <f t="shared" ca="1" si="30"/>
        <v>45444</v>
      </c>
      <c r="B47" s="15" vm="1313">
        <f ca="1">'Price Data'!B45</f>
        <v>197.88</v>
      </c>
      <c r="C47" s="25">
        <f t="shared" ca="1" si="31"/>
        <v>0.10542789883227302</v>
      </c>
      <c r="D47" s="15" vm="1314">
        <f ca="1">'Price Data'!C45</f>
        <v>159.43</v>
      </c>
      <c r="E47" s="25">
        <f t="shared" ca="1" si="0"/>
        <v>7.655718366473184E-2</v>
      </c>
      <c r="F47" s="15" vm="1315">
        <f ca="1">'Price Data'!D45</f>
        <v>123.54</v>
      </c>
      <c r="G47" s="25">
        <f t="shared" ca="1" si="1"/>
        <v>0.11942656618329682</v>
      </c>
      <c r="H47" s="15" vm="1316">
        <f ca="1">'Price Data'!E45</f>
        <v>48.66</v>
      </c>
      <c r="I47" s="25">
        <f t="shared" ca="1" si="2"/>
        <v>-8.5245879149294324E-2</v>
      </c>
      <c r="J47" s="15" vm="1317">
        <f ca="1">'Price Data'!F45</f>
        <v>504.22</v>
      </c>
      <c r="K47" s="25">
        <f t="shared" ca="1" si="3"/>
        <v>7.7047515066473907E-2</v>
      </c>
      <c r="L47" s="15" vm="1318">
        <f ca="1">'Price Data'!G45</f>
        <v>12.3416</v>
      </c>
      <c r="M47" s="25">
        <f t="shared" ca="1" si="4"/>
        <v>3.3240703391720167E-2</v>
      </c>
      <c r="N47" s="15" vm="1319">
        <f ca="1">'Price Data'!H45</f>
        <v>33.54</v>
      </c>
      <c r="O47" s="25">
        <f t="shared" ca="1" si="5"/>
        <v>-6.7441280795532646E-2</v>
      </c>
      <c r="P47" s="15" vm="1320">
        <f ca="1">'Price Data'!I45</f>
        <v>46.98</v>
      </c>
      <c r="Q47" s="25">
        <f t="shared" ca="1" si="6"/>
        <v>1.1130251888503565E-2</v>
      </c>
      <c r="R47" s="15" vm="1321">
        <f ca="1">'Price Data'!J45</f>
        <v>182.01</v>
      </c>
      <c r="S47" s="25">
        <f t="shared" ca="1" si="7"/>
        <v>2.4471495343080706E-2</v>
      </c>
      <c r="T47" s="15" vm="1322">
        <f ca="1">'Price Data'!K45</f>
        <v>62.65</v>
      </c>
      <c r="U47" s="25">
        <f t="shared" ca="1" si="8"/>
        <v>9.5176962863626911E-4</v>
      </c>
      <c r="V47" s="15" vm="1323">
        <f ca="1">'Price Data'!L45</f>
        <v>333.1</v>
      </c>
      <c r="W47" s="25">
        <f t="shared" ca="1" si="9"/>
        <v>-1.6140429602271147E-2</v>
      </c>
      <c r="X47" s="15" vm="1324">
        <f ca="1">'Price Data'!M45</f>
        <v>905.38</v>
      </c>
      <c r="Y47" s="25">
        <f t="shared" ca="1" si="10"/>
        <v>9.8635856606103287E-2</v>
      </c>
      <c r="Z47" s="15" vm="1325">
        <f ca="1">'Price Data'!N45</f>
        <v>182.15</v>
      </c>
      <c r="AA47" s="25">
        <f t="shared" ca="1" si="11"/>
        <v>5.4433286983158372E-2</v>
      </c>
      <c r="AB47" s="15" vm="1326">
        <f ca="1">'Price Data'!O45</f>
        <v>102.19</v>
      </c>
      <c r="AC47" s="25">
        <f t="shared" ca="1" si="12"/>
        <v>2.0264618722318908E-2</v>
      </c>
      <c r="AD47" s="15" vm="1327">
        <f ca="1">'Price Data'!P45</f>
        <v>115.12</v>
      </c>
      <c r="AE47" s="25">
        <f t="shared" ca="1" si="13"/>
        <v>-1.8418628956956618E-2</v>
      </c>
      <c r="AF47" s="15" vm="1328">
        <f ca="1">'Price Data'!Q45</f>
        <v>162.91999999999999</v>
      </c>
      <c r="AG47" s="25">
        <f t="shared" ca="1" si="14"/>
        <v>-5.6920923646118417E-3</v>
      </c>
      <c r="AH47" s="15" vm="1329">
        <f ca="1">'Price Data'!R45</f>
        <v>172.95</v>
      </c>
      <c r="AI47" s="25">
        <f t="shared" ca="1" si="15"/>
        <v>3.5907330185794638E-2</v>
      </c>
      <c r="AJ47" s="15" vm="1330">
        <f ca="1">'Price Data'!S45</f>
        <v>210.62</v>
      </c>
      <c r="AK47" s="25">
        <f t="shared" ca="1" si="16"/>
        <v>9.1258953566697706E-2</v>
      </c>
      <c r="AL47" s="15" vm="1331">
        <f ca="1">'Price Data'!T45</f>
        <v>344.24</v>
      </c>
      <c r="AM47" s="25">
        <f t="shared" ca="1" si="17"/>
        <v>2.759669172142136E-2</v>
      </c>
      <c r="AN47" s="15" vm="1332">
        <f ca="1">'Price Data'!U45</f>
        <v>202.26</v>
      </c>
      <c r="AO47" s="25">
        <f t="shared" ca="1" si="18"/>
        <v>-1.8276574032134445E-3</v>
      </c>
      <c r="AP47" s="15" vm="1333">
        <f ca="1">'Price Data'!V45</f>
        <v>117.19</v>
      </c>
      <c r="AQ47" s="25">
        <f t="shared" ca="1" si="19"/>
        <v>-2.6607614958569985E-2</v>
      </c>
      <c r="AR47" s="15" vm="1334">
        <f ca="1">'Price Data'!W45</f>
        <v>19.11</v>
      </c>
      <c r="AS47" s="25">
        <f t="shared" ca="1" si="20"/>
        <v>4.7691866420369454E-2</v>
      </c>
      <c r="AT47" s="15" vm="1335">
        <f ca="1">'Price Data'!X45</f>
        <v>49.93</v>
      </c>
      <c r="AU47" s="25">
        <f t="shared" ca="1" si="21"/>
        <v>-4.7711883778878326E-2</v>
      </c>
      <c r="AV47" s="15" vm="1336">
        <f ca="1">'Price Data'!Y45</f>
        <v>27.98</v>
      </c>
      <c r="AW47" s="25">
        <f t="shared" ca="1" si="22"/>
        <v>-2.4012453162690701E-2</v>
      </c>
      <c r="AX47" s="15" vm="1337">
        <f ca="1">'Price Data'!Z45</f>
        <v>441.16</v>
      </c>
      <c r="AY47" s="25">
        <f t="shared" ca="1" si="23"/>
        <v>-1.3307560467765369E-2</v>
      </c>
      <c r="AZ47" s="15" vm="1338">
        <f ca="1">'Price Data'!AA45</f>
        <v>446.95</v>
      </c>
      <c r="BA47" s="25">
        <f t="shared" ca="1" si="24"/>
        <v>7.385500734459606E-2</v>
      </c>
      <c r="BB47" s="15" vm="1339">
        <f ca="1">'Price Data'!AB45</f>
        <v>132.46</v>
      </c>
      <c r="BC47" s="25">
        <f t="shared" ca="1" si="25"/>
        <v>-3.6833983509927094E-2</v>
      </c>
      <c r="BD47" s="15" vm="1340">
        <f ca="1">'Price Data'!AC45</f>
        <v>67.709999999999994</v>
      </c>
      <c r="BE47" s="25">
        <f t="shared" ca="1" si="26"/>
        <v>2.9222128749629418E-2</v>
      </c>
      <c r="BF47" s="15" vm="1341">
        <f ca="1">'Price Data'!AD45</f>
        <v>63.65</v>
      </c>
      <c r="BG47" s="25">
        <f t="shared" ca="1" si="27"/>
        <v>1.1376327464573373E-2</v>
      </c>
      <c r="BH47" s="15" vm="1342">
        <f ca="1">'Price Data'!AE45</f>
        <v>254.84</v>
      </c>
      <c r="BI47" s="25">
        <f t="shared" ca="1" si="28"/>
        <v>-1.5767363811522984E-2</v>
      </c>
      <c r="BJ47" s="15" vm="1343">
        <f ca="1">'Price Data'!AF45</f>
        <v>547.23</v>
      </c>
      <c r="BK47" s="25">
        <f t="shared" ca="1" si="29"/>
        <v>3.2067657367010456E-2</v>
      </c>
    </row>
    <row r="48" spans="1:63" x14ac:dyDescent="0.25">
      <c r="A48" s="24">
        <f t="shared" ca="1" si="30"/>
        <v>45474</v>
      </c>
      <c r="B48" s="15" vm="1344">
        <f ca="1">'Price Data'!B46</f>
        <v>232.07</v>
      </c>
      <c r="C48" s="25">
        <f t="shared" ca="1" si="31"/>
        <v>0.15937826393515947</v>
      </c>
      <c r="D48" s="15" vm="1345">
        <f ca="1">'Price Data'!C46</f>
        <v>156.72</v>
      </c>
      <c r="E48" s="25">
        <f t="shared" ca="1" si="0"/>
        <v>-1.7144180782988627E-2</v>
      </c>
      <c r="F48" s="15" vm="1346">
        <f ca="1">'Price Data'!D46</f>
        <v>117.02</v>
      </c>
      <c r="G48" s="25">
        <f t="shared" ca="1" si="1"/>
        <v>-5.4220129907663124E-2</v>
      </c>
      <c r="H48" s="15" vm="1347">
        <f ca="1">'Price Data'!E46</f>
        <v>45.42</v>
      </c>
      <c r="I48" s="25">
        <f t="shared" ca="1" si="2"/>
        <v>-6.8904800677964034E-2</v>
      </c>
      <c r="J48" s="15" vm="1348">
        <f ca="1">'Price Data'!F46</f>
        <v>474.83</v>
      </c>
      <c r="K48" s="25">
        <f t="shared" ca="1" si="3"/>
        <v>-6.0055835527809284E-2</v>
      </c>
      <c r="L48" s="15" vm="1349">
        <f ca="1">'Price Data'!G46</f>
        <v>10.6488</v>
      </c>
      <c r="M48" s="25">
        <f t="shared" ca="1" si="4"/>
        <v>-0.14752845996492034</v>
      </c>
      <c r="N48" s="15" vm="1350">
        <f ca="1">'Price Data'!H46</f>
        <v>37.5</v>
      </c>
      <c r="O48" s="25">
        <f t="shared" ca="1" si="5"/>
        <v>0.11160217658130243</v>
      </c>
      <c r="P48" s="15" vm="1351">
        <f ca="1">'Price Data'!I46</f>
        <v>44.23</v>
      </c>
      <c r="Q48" s="25">
        <f t="shared" ca="1" si="6"/>
        <v>-6.0318687350531329E-2</v>
      </c>
      <c r="R48" s="15" vm="1352">
        <f ca="1">'Price Data'!J46</f>
        <v>190.6</v>
      </c>
      <c r="S48" s="25">
        <f t="shared" ca="1" si="7"/>
        <v>4.6115360597785642E-2</v>
      </c>
      <c r="T48" s="15" vm="1353">
        <f ca="1">'Price Data'!K46</f>
        <v>54.32</v>
      </c>
      <c r="U48" s="25">
        <f t="shared" ca="1" si="8"/>
        <v>-0.14267119809163664</v>
      </c>
      <c r="V48" s="15" vm="1354">
        <f ca="1">'Price Data'!L46</f>
        <v>346.2</v>
      </c>
      <c r="W48" s="25">
        <f t="shared" ca="1" si="9"/>
        <v>3.8573897542474894E-2</v>
      </c>
      <c r="X48" s="15" vm="1355">
        <f ca="1">'Price Data'!M46</f>
        <v>804.27</v>
      </c>
      <c r="Y48" s="25">
        <f t="shared" ca="1" si="10"/>
        <v>-0.11841971137448726</v>
      </c>
      <c r="Z48" s="15" vm="1356">
        <f ca="1">'Price Data'!N46</f>
        <v>171.54</v>
      </c>
      <c r="AA48" s="25">
        <f t="shared" ca="1" si="11"/>
        <v>-6.0014047892297452E-2</v>
      </c>
      <c r="AB48" s="15" vm="1357">
        <f ca="1">'Price Data'!O46</f>
        <v>127.55</v>
      </c>
      <c r="AC48" s="25">
        <f t="shared" ca="1" si="12"/>
        <v>0.22167461896370269</v>
      </c>
      <c r="AD48" s="15" vm="1358">
        <f ca="1">'Price Data'!P46</f>
        <v>118.59</v>
      </c>
      <c r="AE48" s="25">
        <f t="shared" ca="1" si="13"/>
        <v>2.9697103397591355E-2</v>
      </c>
      <c r="AF48" s="15" vm="1359">
        <f ca="1">'Price Data'!Q46</f>
        <v>171.25</v>
      </c>
      <c r="AG48" s="25">
        <f t="shared" ca="1" si="14"/>
        <v>4.986519436212293E-2</v>
      </c>
      <c r="AH48" s="15" vm="1360">
        <f ca="1">'Price Data'!R46</f>
        <v>192.14</v>
      </c>
      <c r="AI48" s="25">
        <f t="shared" ca="1" si="15"/>
        <v>0.10522173759841472</v>
      </c>
      <c r="AJ48" s="15" vm="1361">
        <f ca="1">'Price Data'!S46</f>
        <v>222.08</v>
      </c>
      <c r="AK48" s="25">
        <f t="shared" ca="1" si="16"/>
        <v>5.298211536598859E-2</v>
      </c>
      <c r="AL48" s="15" vm="1362">
        <f ca="1">'Price Data'!T46</f>
        <v>368.16</v>
      </c>
      <c r="AM48" s="25">
        <f t="shared" ca="1" si="17"/>
        <v>6.7178537756711523E-2</v>
      </c>
      <c r="AN48" s="15" vm="1363">
        <f ca="1">'Price Data'!U46</f>
        <v>212.8</v>
      </c>
      <c r="AO48" s="25">
        <f t="shared" ca="1" si="18"/>
        <v>5.079875899346499E-2</v>
      </c>
      <c r="AP48" s="15" vm="1364">
        <f ca="1">'Price Data'!V46</f>
        <v>125.32</v>
      </c>
      <c r="AQ48" s="25">
        <f t="shared" ca="1" si="19"/>
        <v>6.7073916813480031E-2</v>
      </c>
      <c r="AR48" s="15" vm="881">
        <f ca="1">'Price Data'!W46</f>
        <v>19.25</v>
      </c>
      <c r="AS48" s="25">
        <f t="shared" ca="1" si="20"/>
        <v>7.2993024816115351E-3</v>
      </c>
      <c r="AT48" s="15" vm="1365">
        <f ca="1">'Price Data'!X46</f>
        <v>54.5</v>
      </c>
      <c r="AU48" s="25">
        <f t="shared" ca="1" si="21"/>
        <v>8.7578677156680509E-2</v>
      </c>
      <c r="AV48" s="15" vm="1366">
        <f ca="1">'Price Data'!Y46</f>
        <v>30.54</v>
      </c>
      <c r="AW48" s="25">
        <f t="shared" ca="1" si="22"/>
        <v>8.754733055315124E-2</v>
      </c>
      <c r="AX48" s="15" vm="1367">
        <f ca="1">'Price Data'!Z46</f>
        <v>463.71</v>
      </c>
      <c r="AY48" s="25">
        <f t="shared" ca="1" si="23"/>
        <v>4.9851735394390702E-2</v>
      </c>
      <c r="AZ48" s="15" vm="1368">
        <f ca="1">'Price Data'!AA46</f>
        <v>418.35</v>
      </c>
      <c r="BA48" s="25">
        <f t="shared" ca="1" si="24"/>
        <v>-6.6128328792253901E-2</v>
      </c>
      <c r="BB48" s="15" vm="1369">
        <f ca="1">'Price Data'!AB46</f>
        <v>132.83000000000001</v>
      </c>
      <c r="BC48" s="25">
        <f t="shared" ca="1" si="25"/>
        <v>2.7894020875785922E-3</v>
      </c>
      <c r="BD48" s="15" vm="1370">
        <f ca="1">'Price Data'!AC46</f>
        <v>68.64</v>
      </c>
      <c r="BE48" s="25">
        <f t="shared" ca="1" si="26"/>
        <v>1.3641575682152971E-2</v>
      </c>
      <c r="BF48" s="15" vm="1371">
        <f ca="1">'Price Data'!AD46</f>
        <v>66.739999999999995</v>
      </c>
      <c r="BG48" s="25">
        <f t="shared" ca="1" si="27"/>
        <v>4.7405148319812282E-2</v>
      </c>
      <c r="BH48" s="15" vm="1372">
        <f ca="1">'Price Data'!AE46</f>
        <v>265.39999999999998</v>
      </c>
      <c r="BI48" s="25">
        <f t="shared" ca="1" si="28"/>
        <v>4.0602224649819607E-2</v>
      </c>
      <c r="BJ48" s="15" vm="1373">
        <f ca="1">'Price Data'!AF46</f>
        <v>553.32000000000005</v>
      </c>
      <c r="BK48" s="25">
        <f t="shared" ca="1" si="29"/>
        <v>1.1067306639681753E-2</v>
      </c>
    </row>
    <row r="49" spans="1:63" x14ac:dyDescent="0.25">
      <c r="A49" s="24">
        <f t="shared" ca="1" si="30"/>
        <v>45505</v>
      </c>
      <c r="B49" s="15" vm="1374">
        <f ca="1">'Price Data'!B47</f>
        <v>214.11</v>
      </c>
      <c r="C49" s="25">
        <f t="shared" ca="1" si="31"/>
        <v>-8.0549148643581495E-2</v>
      </c>
      <c r="D49" s="15" vm="1375">
        <f ca="1">'Price Data'!C47</f>
        <v>164.62</v>
      </c>
      <c r="E49" s="25">
        <f t="shared" ca="1" si="0"/>
        <v>4.917901390821254E-2</v>
      </c>
      <c r="F49" s="15" vm="1376">
        <f ca="1">'Price Data'!D47</f>
        <v>119.37</v>
      </c>
      <c r="G49" s="25">
        <f t="shared" ca="1" si="1"/>
        <v>1.9883052746857009E-2</v>
      </c>
      <c r="H49" s="15" vm="1377">
        <f ca="1">'Price Data'!E47</f>
        <v>44.04</v>
      </c>
      <c r="I49" s="25">
        <f t="shared" ca="1" si="2"/>
        <v>-3.0854224822933259E-2</v>
      </c>
      <c r="J49" s="15" vm="1378">
        <f ca="1">'Price Data'!F47</f>
        <v>521.30999999999995</v>
      </c>
      <c r="K49" s="25">
        <f t="shared" ca="1" si="3"/>
        <v>9.3388029164079678E-2</v>
      </c>
      <c r="L49" s="15" vm="1379">
        <f ca="1">'Price Data'!G47</f>
        <v>11.013</v>
      </c>
      <c r="M49" s="25">
        <f t="shared" ca="1" si="4"/>
        <v>3.3629183432134606E-2</v>
      </c>
      <c r="N49" s="15" vm="1380">
        <f ca="1">'Price Data'!H47</f>
        <v>37.44</v>
      </c>
      <c r="O49" s="25">
        <f t="shared" ca="1" si="5"/>
        <v>-1.6012813669738792E-3</v>
      </c>
      <c r="P49" s="15" vm="1381">
        <f ca="1">'Price Data'!I47</f>
        <v>47.37</v>
      </c>
      <c r="Q49" s="25">
        <f t="shared" ca="1" si="6"/>
        <v>6.8585825055425001E-2</v>
      </c>
      <c r="R49" s="15" vm="1382">
        <f ca="1">'Price Data'!J47</f>
        <v>173.74</v>
      </c>
      <c r="S49" s="25">
        <f t="shared" ca="1" si="7"/>
        <v>-9.261706238832719E-2</v>
      </c>
      <c r="T49" s="15" vm="1383">
        <f ca="1">'Price Data'!K47</f>
        <v>56.08</v>
      </c>
      <c r="U49" s="25">
        <f t="shared" ca="1" si="8"/>
        <v>3.1886759475893853E-2</v>
      </c>
      <c r="V49" s="15" vm="1384">
        <f ca="1">'Price Data'!L47</f>
        <v>356.1</v>
      </c>
      <c r="W49" s="25">
        <f t="shared" ca="1" si="9"/>
        <v>2.8194947541623362E-2</v>
      </c>
      <c r="X49" s="15" vm="1385">
        <f ca="1">'Price Data'!M47</f>
        <v>960.02</v>
      </c>
      <c r="Y49" s="25">
        <f t="shared" ca="1" si="10"/>
        <v>0.17701908387893153</v>
      </c>
      <c r="Z49" s="15" vm="1386">
        <f ca="1">'Price Data'!N47</f>
        <v>163.38</v>
      </c>
      <c r="AA49" s="25">
        <f t="shared" ca="1" si="11"/>
        <v>-4.8737699648552235E-2</v>
      </c>
      <c r="AB49" s="15" vm="1387">
        <f ca="1">'Price Data'!O47</f>
        <v>134.69</v>
      </c>
      <c r="AC49" s="25">
        <f t="shared" ca="1" si="12"/>
        <v>5.4467397022903034E-2</v>
      </c>
      <c r="AD49" s="15" vm="1388">
        <f ca="1">'Price Data'!P47</f>
        <v>117.94</v>
      </c>
      <c r="AE49" s="25">
        <f t="shared" ca="1" si="13"/>
        <v>-5.4961454043457696E-3</v>
      </c>
      <c r="AF49" s="15" vm="1389">
        <f ca="1">'Price Data'!Q47</f>
        <v>183.29</v>
      </c>
      <c r="AG49" s="25">
        <f t="shared" ca="1" si="14"/>
        <v>6.7945120841421694E-2</v>
      </c>
      <c r="AH49" s="15" vm="1390">
        <f ca="1">'Price Data'!R47</f>
        <v>202.13</v>
      </c>
      <c r="AI49" s="25">
        <f t="shared" ca="1" si="15"/>
        <v>5.0686781777314192E-2</v>
      </c>
      <c r="AJ49" s="15" vm="1391">
        <f ca="1">'Price Data'!S47</f>
        <v>229</v>
      </c>
      <c r="AK49" s="25">
        <f t="shared" ca="1" si="16"/>
        <v>3.0684326235799947E-2</v>
      </c>
      <c r="AL49" s="15" vm="1392">
        <f ca="1">'Price Data'!T47</f>
        <v>368.5</v>
      </c>
      <c r="AM49" s="25">
        <f t="shared" ca="1" si="17"/>
        <v>9.2308534233555837E-4</v>
      </c>
      <c r="AN49" s="15" vm="1393">
        <f ca="1">'Price Data'!U47</f>
        <v>224.8</v>
      </c>
      <c r="AO49" s="25">
        <f t="shared" ca="1" si="18"/>
        <v>5.4858360552046764E-2</v>
      </c>
      <c r="AP49" s="15" vm="1394">
        <f ca="1">'Price Data'!V47</f>
        <v>121.16</v>
      </c>
      <c r="AQ49" s="25">
        <f t="shared" ca="1" si="19"/>
        <v>-3.375847992495442E-2</v>
      </c>
      <c r="AR49" s="15" vm="1395">
        <f ca="1">'Price Data'!W47</f>
        <v>19.899999999999999</v>
      </c>
      <c r="AS49" s="25">
        <f t="shared" ca="1" si="20"/>
        <v>3.3208670996653387E-2</v>
      </c>
      <c r="AT49" s="15" vm="1396">
        <f ca="1">'Price Data'!X47</f>
        <v>53.21</v>
      </c>
      <c r="AU49" s="25">
        <f t="shared" ca="1" si="21"/>
        <v>-2.3954353060920482E-2</v>
      </c>
      <c r="AV49" s="15" vm="1397">
        <f ca="1">'Price Data'!Y47</f>
        <v>29.01</v>
      </c>
      <c r="AW49" s="25">
        <f t="shared" ca="1" si="22"/>
        <v>-5.1396701657173666E-2</v>
      </c>
      <c r="AX49" s="15" vm="1398">
        <f ca="1">'Price Data'!Z47</f>
        <v>483.34</v>
      </c>
      <c r="AY49" s="25">
        <f t="shared" ca="1" si="23"/>
        <v>4.1460982922497884E-2</v>
      </c>
      <c r="AZ49" s="15" vm="1399">
        <f ca="1">'Price Data'!AA47</f>
        <v>417.14</v>
      </c>
      <c r="BA49" s="25">
        <f t="shared" ca="1" si="24"/>
        <v>-2.896505873118735E-3</v>
      </c>
      <c r="BB49" s="15" vm="1400">
        <f ca="1">'Price Data'!AB47</f>
        <v>134.91999999999999</v>
      </c>
      <c r="BC49" s="25">
        <f t="shared" ca="1" si="25"/>
        <v>1.5611895049037466E-2</v>
      </c>
      <c r="BD49" s="15" vm="1401">
        <f ca="1">'Price Data'!AC47</f>
        <v>77.23</v>
      </c>
      <c r="BE49" s="25">
        <f t="shared" ca="1" si="26"/>
        <v>0.11791252740146578</v>
      </c>
      <c r="BF49" s="15" vm="1402">
        <f ca="1">'Price Data'!AD47</f>
        <v>72.47</v>
      </c>
      <c r="BG49" s="25">
        <f t="shared" ca="1" si="27"/>
        <v>8.236820979796218E-2</v>
      </c>
      <c r="BH49" s="15" vm="1403">
        <f ca="1">'Price Data'!AE47</f>
        <v>288.66000000000003</v>
      </c>
      <c r="BI49" s="25">
        <f t="shared" ca="1" si="28"/>
        <v>8.4011403041310412E-2</v>
      </c>
      <c r="BJ49" s="15" vm="1404">
        <f ca="1">'Price Data'!AF47</f>
        <v>566.75</v>
      </c>
      <c r="BK49" s="25">
        <f t="shared" ca="1" si="29"/>
        <v>2.3981793381023853E-2</v>
      </c>
    </row>
    <row r="50" spans="1:63" x14ac:dyDescent="0.25">
      <c r="A50" s="24">
        <f t="shared" ca="1" si="30"/>
        <v>45536</v>
      </c>
      <c r="B50" s="15" vm="1405">
        <f ca="1">'Price Data'!B48</f>
        <v>261.63</v>
      </c>
      <c r="C50" s="25">
        <f t="shared" ca="1" si="31"/>
        <v>0.20044139025591809</v>
      </c>
      <c r="D50" s="15" vm="1406">
        <f ca="1">'Price Data'!C48</f>
        <v>177.36</v>
      </c>
      <c r="E50" s="25">
        <f t="shared" ca="1" si="0"/>
        <v>7.4541777763558109E-2</v>
      </c>
      <c r="F50" s="15" vm="1407">
        <f ca="1">'Price Data'!D48</f>
        <v>121.44</v>
      </c>
      <c r="G50" s="25">
        <f t="shared" ca="1" si="1"/>
        <v>1.7192400540372771E-2</v>
      </c>
      <c r="H50" s="15" vm="1408">
        <f ca="1">'Price Data'!E48</f>
        <v>57.06</v>
      </c>
      <c r="I50" s="25">
        <f t="shared" ca="1" si="2"/>
        <v>0.25900503393087471</v>
      </c>
      <c r="J50" s="15" vm="1409">
        <f ca="1">'Price Data'!F48</f>
        <v>572.44000000000005</v>
      </c>
      <c r="K50" s="25">
        <f t="shared" ca="1" si="3"/>
        <v>9.3563052040402453E-2</v>
      </c>
      <c r="L50" s="15" vm="1410">
        <f ca="1">'Price Data'!G48</f>
        <v>10.392899999999999</v>
      </c>
      <c r="M50" s="25">
        <f t="shared" ca="1" si="4"/>
        <v>-5.7953512483680684E-2</v>
      </c>
      <c r="N50" s="15" vm="1411">
        <f ca="1">'Price Data'!H48</f>
        <v>38.53</v>
      </c>
      <c r="O50" s="25">
        <f t="shared" ca="1" si="5"/>
        <v>2.8697507028674928E-2</v>
      </c>
      <c r="P50" s="15" vm="1412">
        <f ca="1">'Price Data'!I48</f>
        <v>53.87</v>
      </c>
      <c r="Q50" s="25">
        <f t="shared" ca="1" si="6"/>
        <v>0.12858461975678198</v>
      </c>
      <c r="R50" s="15" vm="1413">
        <f ca="1">'Price Data'!J48</f>
        <v>152.04</v>
      </c>
      <c r="S50" s="25">
        <f t="shared" ca="1" si="7"/>
        <v>-0.13341628471072653</v>
      </c>
      <c r="T50" s="15" vm="1414">
        <f ca="1">'Price Data'!K48</f>
        <v>57.62</v>
      </c>
      <c r="U50" s="25">
        <f t="shared" ca="1" si="8"/>
        <v>2.7090486930047744E-2</v>
      </c>
      <c r="V50" s="15" vm="1415">
        <f ca="1">'Price Data'!L48</f>
        <v>391.12</v>
      </c>
      <c r="W50" s="25">
        <f t="shared" ca="1" si="9"/>
        <v>9.3802827986658066E-2</v>
      </c>
      <c r="X50" s="15" vm="1416">
        <f ca="1">'Price Data'!M48</f>
        <v>885.94</v>
      </c>
      <c r="Y50" s="25">
        <f t="shared" ca="1" si="10"/>
        <v>-8.0304889356525633E-2</v>
      </c>
      <c r="Z50" s="15" vm="1417">
        <f ca="1">'Price Data'!N48</f>
        <v>165.85</v>
      </c>
      <c r="AA50" s="25">
        <f t="shared" ca="1" si="11"/>
        <v>1.5004989479338158E-2</v>
      </c>
      <c r="AB50" s="15" vm="1418">
        <f ca="1">'Price Data'!O48</f>
        <v>136.69999999999999</v>
      </c>
      <c r="AC50" s="25">
        <f t="shared" ca="1" si="12"/>
        <v>1.4812902119180427E-2</v>
      </c>
      <c r="AD50" s="15" vm="1419">
        <f ca="1">'Price Data'!P48</f>
        <v>117.22</v>
      </c>
      <c r="AE50" s="25">
        <f t="shared" ca="1" si="13"/>
        <v>-6.123509524074853E-3</v>
      </c>
      <c r="AF50" s="15" vm="1420">
        <f ca="1">'Price Data'!Q48</f>
        <v>176.03</v>
      </c>
      <c r="AG50" s="25">
        <f t="shared" ca="1" si="14"/>
        <v>-4.0415162925875582E-2</v>
      </c>
      <c r="AH50" s="15" vm="1421">
        <f ca="1">'Price Data'!R48</f>
        <v>221.08</v>
      </c>
      <c r="AI50" s="25">
        <f t="shared" ca="1" si="15"/>
        <v>8.9613572206155762E-2</v>
      </c>
      <c r="AJ50" s="15" vm="1422">
        <f ca="1">'Price Data'!S48</f>
        <v>233</v>
      </c>
      <c r="AK50" s="25">
        <f t="shared" ca="1" si="16"/>
        <v>1.7316450011460958E-2</v>
      </c>
      <c r="AL50" s="15" vm="1423">
        <f ca="1">'Price Data'!T48</f>
        <v>405.2</v>
      </c>
      <c r="AM50" s="25">
        <f t="shared" ca="1" si="17"/>
        <v>9.4940060745136987E-2</v>
      </c>
      <c r="AN50" s="15" vm="1424">
        <f ca="1">'Price Data'!U48</f>
        <v>210.86</v>
      </c>
      <c r="AO50" s="25">
        <f t="shared" ca="1" si="18"/>
        <v>-6.4016711870732407E-2</v>
      </c>
      <c r="AP50" s="15" vm="1425">
        <f ca="1">'Price Data'!V48</f>
        <v>121.1</v>
      </c>
      <c r="AQ50" s="25">
        <f t="shared" ca="1" si="19"/>
        <v>-4.9533559998996002E-4</v>
      </c>
      <c r="AR50" s="15" vm="1426">
        <f ca="1">'Price Data'!W48</f>
        <v>22</v>
      </c>
      <c r="AS50" s="25">
        <f t="shared" ca="1" si="20"/>
        <v>0.10032272162786926</v>
      </c>
      <c r="AT50" s="15" vm="1427">
        <f ca="1">'Price Data'!X48</f>
        <v>57.3</v>
      </c>
      <c r="AU50" s="25">
        <f t="shared" ca="1" si="21"/>
        <v>7.4054275112415871E-2</v>
      </c>
      <c r="AV50" s="15" vm="1428">
        <f ca="1">'Price Data'!Y48</f>
        <v>28.94</v>
      </c>
      <c r="AW50" s="25">
        <f t="shared" ca="1" si="22"/>
        <v>-2.415876929974887E-3</v>
      </c>
      <c r="AX50" s="15" vm="1429">
        <f ca="1">'Price Data'!Z48</f>
        <v>493.8</v>
      </c>
      <c r="AY50" s="25">
        <f t="shared" ca="1" si="23"/>
        <v>2.1410237156244558E-2</v>
      </c>
      <c r="AZ50" s="15" vm="1430">
        <f ca="1">'Price Data'!AA48</f>
        <v>430.3</v>
      </c>
      <c r="BA50" s="25">
        <f t="shared" ca="1" si="24"/>
        <v>3.1060742976065054E-2</v>
      </c>
      <c r="BB50" s="15" vm="1431">
        <f ca="1">'Price Data'!AB48</f>
        <v>139.71</v>
      </c>
      <c r="BC50" s="25">
        <f t="shared" ca="1" si="25"/>
        <v>3.4886835468946206E-2</v>
      </c>
      <c r="BD50" s="15" vm="1432">
        <f ca="1">'Price Data'!AC48</f>
        <v>80.75</v>
      </c>
      <c r="BE50" s="25">
        <f t="shared" ca="1" si="26"/>
        <v>4.4569979521593271E-2</v>
      </c>
      <c r="BF50" s="15" vm="1433">
        <f ca="1">'Price Data'!AD48</f>
        <v>71.86</v>
      </c>
      <c r="BG50" s="25">
        <f t="shared" ca="1" si="27"/>
        <v>-8.4529014358173393E-3</v>
      </c>
      <c r="BH50" s="15" vm="1434">
        <f ca="1">'Price Data'!AE48</f>
        <v>304.51</v>
      </c>
      <c r="BI50" s="25">
        <f t="shared" ca="1" si="28"/>
        <v>5.3454402393785426E-2</v>
      </c>
      <c r="BJ50" s="15" vm="1435">
        <f ca="1">'Price Data'!AF48</f>
        <v>576.82000000000005</v>
      </c>
      <c r="BK50" s="25">
        <f t="shared" ca="1" si="29"/>
        <v>1.7611970045769861E-2</v>
      </c>
    </row>
    <row r="51" spans="1:63" x14ac:dyDescent="0.25">
      <c r="A51" s="24">
        <f t="shared" ca="1" si="30"/>
        <v>45566</v>
      </c>
      <c r="B51" s="15" vm="1436">
        <f ca="1">'Price Data'!B49</f>
        <v>249.85</v>
      </c>
      <c r="C51" s="25">
        <f t="shared" ca="1" si="31"/>
        <v>-4.6070554116789973E-2</v>
      </c>
      <c r="D51" s="15" vm="1437">
        <f ca="1">'Price Data'!C49</f>
        <v>206.35</v>
      </c>
      <c r="E51" s="25">
        <f t="shared" ca="1" si="0"/>
        <v>0.15139219089053463</v>
      </c>
      <c r="F51" s="15" vm="1438">
        <f ca="1">'Price Data'!D49</f>
        <v>132.76</v>
      </c>
      <c r="G51" s="25">
        <f t="shared" ca="1" si="1"/>
        <v>8.9122673204453953E-2</v>
      </c>
      <c r="H51" s="15" vm="1439">
        <f ca="1">'Price Data'!E49</f>
        <v>78.260000000000005</v>
      </c>
      <c r="I51" s="25">
        <f t="shared" ca="1" si="2"/>
        <v>0.31593327099691249</v>
      </c>
      <c r="J51" s="15" vm="1440">
        <f ca="1">'Price Data'!F49</f>
        <v>567.58000000000004</v>
      </c>
      <c r="K51" s="25">
        <f t="shared" ca="1" si="3"/>
        <v>-8.5262178593404712E-3</v>
      </c>
      <c r="L51" s="15" vm="1441">
        <f ca="1">'Price Data'!G49</f>
        <v>10.1272</v>
      </c>
      <c r="M51" s="25">
        <f t="shared" ca="1" si="4"/>
        <v>-2.5898007358644764E-2</v>
      </c>
      <c r="N51" s="15" vm="1442">
        <f ca="1">'Price Data'!H49</f>
        <v>31.95</v>
      </c>
      <c r="O51" s="25">
        <f t="shared" ca="1" si="5"/>
        <v>-0.18726497781452245</v>
      </c>
      <c r="P51" s="15" vm="1443">
        <f ca="1">'Price Data'!I49</f>
        <v>52.39</v>
      </c>
      <c r="Q51" s="25">
        <f t="shared" ca="1" si="6"/>
        <v>-2.7858003272313962E-2</v>
      </c>
      <c r="R51" s="15" vm="1444">
        <f ca="1">'Price Data'!J49</f>
        <v>149.31</v>
      </c>
      <c r="S51" s="25">
        <f t="shared" ca="1" si="7"/>
        <v>-1.8118962582475414E-2</v>
      </c>
      <c r="T51" s="15" vm="1445">
        <f ca="1">'Price Data'!K49</f>
        <v>55.77</v>
      </c>
      <c r="U51" s="25">
        <f t="shared" ca="1" si="8"/>
        <v>-3.2633639254919994E-2</v>
      </c>
      <c r="V51" s="15" vm="1446">
        <f ca="1">'Price Data'!L49</f>
        <v>376.2</v>
      </c>
      <c r="W51" s="25">
        <f t="shared" ca="1" si="9"/>
        <v>-3.8893501403460096E-2</v>
      </c>
      <c r="X51" s="15" vm="1447">
        <f ca="1">'Price Data'!M49</f>
        <v>829.74</v>
      </c>
      <c r="Y51" s="25">
        <f t="shared" ca="1" si="10"/>
        <v>-6.5536829517056666E-2</v>
      </c>
      <c r="Z51" s="15" vm="1448">
        <f ca="1">'Price Data'!N49</f>
        <v>171.11</v>
      </c>
      <c r="AA51" s="25">
        <f t="shared" ca="1" si="11"/>
        <v>3.1222859150817666E-2</v>
      </c>
      <c r="AB51" s="15" vm="1449">
        <f ca="1">'Price Data'!O49</f>
        <v>128.47</v>
      </c>
      <c r="AC51" s="25">
        <f t="shared" ca="1" si="12"/>
        <v>-6.2093329686385472E-2</v>
      </c>
      <c r="AD51" s="15" vm="1450">
        <f ca="1">'Price Data'!P49</f>
        <v>116.78</v>
      </c>
      <c r="AE51" s="25">
        <f t="shared" ca="1" si="13"/>
        <v>-3.7606881928916517E-3</v>
      </c>
      <c r="AF51" s="15" vm="1451">
        <f ca="1">'Price Data'!Q49</f>
        <v>198.35</v>
      </c>
      <c r="AG51" s="25">
        <f t="shared" ca="1" si="14"/>
        <v>0.11937871190245816</v>
      </c>
      <c r="AH51" s="15" vm="1452">
        <f ca="1">'Price Data'!R49</f>
        <v>206.72</v>
      </c>
      <c r="AI51" s="25">
        <f t="shared" ca="1" si="15"/>
        <v>-6.7159406370825181E-2</v>
      </c>
      <c r="AJ51" s="15" vm="1453">
        <f ca="1">'Price Data'!S49</f>
        <v>225.91</v>
      </c>
      <c r="AK51" s="25">
        <f t="shared" ca="1" si="16"/>
        <v>-3.09017636965697E-2</v>
      </c>
      <c r="AL51" s="15" vm="1454">
        <f ca="1">'Price Data'!T49</f>
        <v>393.75</v>
      </c>
      <c r="AM51" s="25">
        <f t="shared" ca="1" si="17"/>
        <v>-2.8664582234685453E-2</v>
      </c>
      <c r="AN51" s="15" vm="1455">
        <f ca="1">'Price Data'!U49</f>
        <v>221.92</v>
      </c>
      <c r="AO51" s="25">
        <f t="shared" ca="1" si="18"/>
        <v>5.1122550417717641E-2</v>
      </c>
      <c r="AP51" s="15" vm="1456">
        <f ca="1">'Price Data'!V49</f>
        <v>122.48</v>
      </c>
      <c r="AQ51" s="25">
        <f t="shared" ca="1" si="19"/>
        <v>1.1331100790381779E-2</v>
      </c>
      <c r="AR51" s="15" vm="1457">
        <f ca="1">'Price Data'!W49</f>
        <v>22.54</v>
      </c>
      <c r="AS51" s="25">
        <f t="shared" ca="1" si="20"/>
        <v>2.4249055253314271E-2</v>
      </c>
      <c r="AT51" s="15" vm="1445">
        <f ca="1">'Price Data'!X49</f>
        <v>55.77</v>
      </c>
      <c r="AU51" s="25">
        <f t="shared" ca="1" si="21"/>
        <v>-2.7064533319231438E-2</v>
      </c>
      <c r="AV51" s="15" vm="1458">
        <f ca="1">'Price Data'!Y49</f>
        <v>28.3</v>
      </c>
      <c r="AW51" s="25">
        <f t="shared" ca="1" si="22"/>
        <v>-2.2362916554145844E-2</v>
      </c>
      <c r="AX51" s="15" vm="1459">
        <f ca="1">'Price Data'!Z49</f>
        <v>499.59</v>
      </c>
      <c r="AY51" s="25">
        <f t="shared" ca="1" si="23"/>
        <v>1.1657185127210166E-2</v>
      </c>
      <c r="AZ51" s="15" vm="1460">
        <f ca="1">'Price Data'!AA49</f>
        <v>406.35</v>
      </c>
      <c r="BA51" s="25">
        <f t="shared" ca="1" si="24"/>
        <v>-5.7267782645340139E-2</v>
      </c>
      <c r="BB51" s="15" vm="1461">
        <f ca="1">'Price Data'!AB49</f>
        <v>131.16</v>
      </c>
      <c r="BC51" s="25">
        <f t="shared" ca="1" si="25"/>
        <v>-6.3150893685948131E-2</v>
      </c>
      <c r="BD51" s="15" vm="1462">
        <f ca="1">'Price Data'!AC49</f>
        <v>81.95</v>
      </c>
      <c r="BE51" s="25">
        <f t="shared" ca="1" si="26"/>
        <v>1.4751343087072764E-2</v>
      </c>
      <c r="BF51" s="15" vm="1463">
        <f ca="1">'Price Data'!AD49</f>
        <v>65.31</v>
      </c>
      <c r="BG51" s="25">
        <f t="shared" ca="1" si="27"/>
        <v>-9.557461777080685E-2</v>
      </c>
      <c r="BH51" s="15" vm="1464">
        <f ca="1">'Price Data'!AE49</f>
        <v>292.11</v>
      </c>
      <c r="BI51" s="25">
        <f t="shared" ca="1" si="28"/>
        <v>-4.1573483674428299E-2</v>
      </c>
      <c r="BJ51" s="15" vm="1465">
        <f ca="1">'Price Data'!AF49</f>
        <v>571.24</v>
      </c>
      <c r="BK51" s="25">
        <f t="shared" ca="1" si="29"/>
        <v>-9.7208228486758055E-3</v>
      </c>
    </row>
    <row r="52" spans="1:63" x14ac:dyDescent="0.25">
      <c r="A52" s="24">
        <f t="shared" ca="1" si="30"/>
        <v>45597</v>
      </c>
      <c r="B52" s="15" vm="1466">
        <f ca="1">'Price Data'!B50</f>
        <v>345.16</v>
      </c>
      <c r="C52" s="25">
        <f t="shared" ca="1" si="31"/>
        <v>0.32314733984989286</v>
      </c>
      <c r="D52" s="15" vm="1467">
        <f ca="1">'Price Data'!C50</f>
        <v>244.06</v>
      </c>
      <c r="E52" s="25">
        <f t="shared" ca="1" si="0"/>
        <v>0.16784034050510258</v>
      </c>
      <c r="F52" s="15" vm="1468">
        <f ca="1">'Price Data'!D50</f>
        <v>138.25</v>
      </c>
      <c r="G52" s="25">
        <f t="shared" ca="1" si="1"/>
        <v>4.0520653550670291E-2</v>
      </c>
      <c r="H52" s="15" vm="1469">
        <f ca="1">'Price Data'!E50</f>
        <v>96.83</v>
      </c>
      <c r="I52" s="25">
        <f t="shared" ca="1" si="2"/>
        <v>0.21292024684117319</v>
      </c>
      <c r="J52" s="15" vm="1470">
        <f ca="1">'Price Data'!F50</f>
        <v>574.32000000000005</v>
      </c>
      <c r="K52" s="25">
        <f t="shared" ca="1" si="3"/>
        <v>1.1805023684893027E-2</v>
      </c>
      <c r="L52" s="15" vm="591">
        <f ca="1">'Price Data'!G50</f>
        <v>10.953900000000001</v>
      </c>
      <c r="M52" s="25">
        <f t="shared" ca="1" si="4"/>
        <v>7.8470683894112173E-2</v>
      </c>
      <c r="N52" s="15" vm="1471">
        <f ca="1">'Price Data'!H50</f>
        <v>33.630000000000003</v>
      </c>
      <c r="O52" s="25">
        <f t="shared" ca="1" si="5"/>
        <v>5.1246344928634426E-2</v>
      </c>
      <c r="P52" s="15" vm="1472">
        <f ca="1">'Price Data'!I50</f>
        <v>49.83</v>
      </c>
      <c r="Q52" s="25">
        <f t="shared" ca="1" si="6"/>
        <v>-5.0098521126815218E-2</v>
      </c>
      <c r="R52" s="15" vm="1473">
        <f ca="1">'Price Data'!J50</f>
        <v>155.44</v>
      </c>
      <c r="S52" s="25">
        <f t="shared" ca="1" si="7"/>
        <v>4.0235123530612149E-2</v>
      </c>
      <c r="T52" s="15" vm="1474">
        <f ca="1">'Price Data'!K50</f>
        <v>61.52</v>
      </c>
      <c r="U52" s="25">
        <f t="shared" ca="1" si="8"/>
        <v>9.8126234795926193E-2</v>
      </c>
      <c r="V52" s="15" vm="1475">
        <f ca="1">'Price Data'!L50</f>
        <v>406.11</v>
      </c>
      <c r="W52" s="25">
        <f t="shared" ca="1" si="9"/>
        <v>7.6503141998874508E-2</v>
      </c>
      <c r="X52" s="15" vm="1476">
        <f ca="1">'Price Data'!M50</f>
        <v>795.35</v>
      </c>
      <c r="Y52" s="25">
        <f t="shared" ca="1" si="10"/>
        <v>-4.2330129360252503E-2</v>
      </c>
      <c r="Z52" s="15" vm="1477">
        <f ca="1">'Price Data'!N50</f>
        <v>168.95</v>
      </c>
      <c r="AA52" s="25">
        <f t="shared" ca="1" si="11"/>
        <v>-1.2703811383580262E-2</v>
      </c>
      <c r="AB52" s="15" vm="1478">
        <f ca="1">'Price Data'!O50</f>
        <v>133.53</v>
      </c>
      <c r="AC52" s="25">
        <f t="shared" ca="1" si="12"/>
        <v>3.8630757652354374E-2</v>
      </c>
      <c r="AD52" s="15" vm="1479">
        <f ca="1">'Price Data'!P50</f>
        <v>117.96</v>
      </c>
      <c r="AE52" s="25">
        <f t="shared" ca="1" si="13"/>
        <v>1.0053761091683825E-2</v>
      </c>
      <c r="AF52" s="15" vm="1480">
        <f ca="1">'Price Data'!Q50</f>
        <v>212.6</v>
      </c>
      <c r="AG52" s="25">
        <f t="shared" ca="1" si="14"/>
        <v>6.9379318947508498E-2</v>
      </c>
      <c r="AH52" s="15" vm="1481">
        <f ca="1">'Price Data'!R50</f>
        <v>227.41</v>
      </c>
      <c r="AI52" s="25">
        <f t="shared" ca="1" si="15"/>
        <v>9.5389335129100805E-2</v>
      </c>
      <c r="AJ52" s="15" vm="1482">
        <f ca="1">'Price Data'!S50</f>
        <v>237.33</v>
      </c>
      <c r="AK52" s="25">
        <f t="shared" ca="1" si="16"/>
        <v>4.9314887832283751E-2</v>
      </c>
      <c r="AL52" s="15" vm="1483">
        <f ca="1">'Price Data'!T50</f>
        <v>429.13</v>
      </c>
      <c r="AM52" s="25">
        <f t="shared" ca="1" si="17"/>
        <v>8.6043713186795601E-2</v>
      </c>
      <c r="AN52" s="15" vm="1484">
        <f ca="1">'Price Data'!U50</f>
        <v>249.72</v>
      </c>
      <c r="AO52" s="25">
        <f t="shared" ca="1" si="18"/>
        <v>0.11802333362702197</v>
      </c>
      <c r="AP52" s="15" vm="1485">
        <f ca="1">'Price Data'!V50</f>
        <v>129.41</v>
      </c>
      <c r="AQ52" s="25">
        <f t="shared" ca="1" si="19"/>
        <v>5.503790748415037E-2</v>
      </c>
      <c r="AR52" s="15" vm="1486">
        <f ca="1">'Price Data'!W50</f>
        <v>23.16</v>
      </c>
      <c r="AS52" s="25">
        <f t="shared" ca="1" si="20"/>
        <v>2.7135144093164226E-2</v>
      </c>
      <c r="AT52" s="15" vm="1487">
        <f ca="1">'Price Data'!X50</f>
        <v>61.08</v>
      </c>
      <c r="AU52" s="25">
        <f t="shared" ca="1" si="21"/>
        <v>9.094838994896931E-2</v>
      </c>
      <c r="AV52" s="15" vm="1488">
        <f ca="1">'Price Data'!Y50</f>
        <v>26.21</v>
      </c>
      <c r="AW52" s="25">
        <f t="shared" ca="1" si="22"/>
        <v>-7.6720787313876965E-2</v>
      </c>
      <c r="AX52" s="15" vm="1489">
        <f ca="1">'Price Data'!Z50</f>
        <v>532.94000000000005</v>
      </c>
      <c r="AY52" s="25">
        <f t="shared" ca="1" si="23"/>
        <v>6.462108543456456E-2</v>
      </c>
      <c r="AZ52" s="15" vm="1490">
        <f ca="1">'Price Data'!AA50</f>
        <v>423.46</v>
      </c>
      <c r="BA52" s="25">
        <f t="shared" ca="1" si="24"/>
        <v>4.1244201428576231E-2</v>
      </c>
      <c r="BB52" s="15" vm="1491">
        <f ca="1">'Price Data'!AB50</f>
        <v>138.94</v>
      </c>
      <c r="BC52" s="25">
        <f t="shared" ca="1" si="25"/>
        <v>5.7624233288287259E-2</v>
      </c>
      <c r="BD52" s="15" vm="1492">
        <f ca="1">'Price Data'!AC50</f>
        <v>92.5</v>
      </c>
      <c r="BE52" s="25">
        <f t="shared" ca="1" si="26"/>
        <v>0.12109933932854074</v>
      </c>
      <c r="BF52" s="15" vm="1493">
        <f ca="1">'Price Data'!AD50</f>
        <v>64.08</v>
      </c>
      <c r="BG52" s="25">
        <f t="shared" ca="1" si="27"/>
        <v>-1.9012861154462081E-2</v>
      </c>
      <c r="BH52" s="15" vm="1494">
        <f ca="1">'Price Data'!AE50</f>
        <v>296.01</v>
      </c>
      <c r="BI52" s="25">
        <f t="shared" ca="1" si="28"/>
        <v>1.3262793878410386E-2</v>
      </c>
      <c r="BJ52" s="15" vm="1495">
        <f ca="1">'Price Data'!AF50</f>
        <v>605.07000000000005</v>
      </c>
      <c r="BK52" s="25">
        <f t="shared" ca="1" si="29"/>
        <v>5.7534717232432281E-2</v>
      </c>
    </row>
    <row r="53" spans="1:63" x14ac:dyDescent="0.25">
      <c r="A53" s="24">
        <f t="shared" ca="1" si="30"/>
        <v>45627</v>
      </c>
      <c r="B53" s="15" vm="1496">
        <f ca="1">'Price Data'!B51</f>
        <v>403.84</v>
      </c>
      <c r="C53" s="25">
        <f t="shared" ca="1" si="31"/>
        <v>0.15701068227268675</v>
      </c>
      <c r="D53" s="15" vm="1497">
        <f ca="1">'Price Data'!C51</f>
        <v>230.69</v>
      </c>
      <c r="E53" s="25">
        <f t="shared" ca="1" si="0"/>
        <v>-5.6339278800699645E-2</v>
      </c>
      <c r="F53" s="15" vm="1498">
        <f ca="1">'Price Data'!D51</f>
        <v>134.29</v>
      </c>
      <c r="G53" s="25">
        <f t="shared" ca="1" si="1"/>
        <v>-2.906199980936032E-2</v>
      </c>
      <c r="H53" s="15" vm="1499">
        <f ca="1">'Price Data'!E51</f>
        <v>97.1</v>
      </c>
      <c r="I53" s="25">
        <f t="shared" ca="1" si="2"/>
        <v>2.7845116738394286E-3</v>
      </c>
      <c r="J53" s="15" vm="1500">
        <f ca="1">'Price Data'!F51</f>
        <v>585.51</v>
      </c>
      <c r="K53" s="25">
        <f t="shared" ca="1" si="3"/>
        <v>1.929653004299255E-2</v>
      </c>
      <c r="L53" s="15" vm="1501">
        <f ca="1">'Price Data'!G51</f>
        <v>9.7433999999999994</v>
      </c>
      <c r="M53" s="25">
        <f t="shared" ca="1" si="4"/>
        <v>-0.11710542451763389</v>
      </c>
      <c r="N53" s="15" vm="1502">
        <f ca="1">'Price Data'!H51</f>
        <v>30.13</v>
      </c>
      <c r="O53" s="25">
        <f t="shared" ca="1" si="5"/>
        <v>-0.10989717260996851</v>
      </c>
      <c r="P53" s="15" vm="1503">
        <f ca="1">'Price Data'!I51</f>
        <v>41.07</v>
      </c>
      <c r="Q53" s="25">
        <f t="shared" ca="1" si="6"/>
        <v>-0.19333928432484598</v>
      </c>
      <c r="R53" s="15" vm="1504">
        <f ca="1">'Price Data'!J51</f>
        <v>177</v>
      </c>
      <c r="S53" s="25">
        <f t="shared" ca="1" si="7"/>
        <v>0.12988992750464451</v>
      </c>
      <c r="T53" s="15" vm="1505">
        <f ca="1">'Price Data'!K51</f>
        <v>60.3</v>
      </c>
      <c r="U53" s="25">
        <f t="shared" ca="1" si="8"/>
        <v>-2.0030221464248914E-2</v>
      </c>
      <c r="V53" s="15" vm="1506">
        <f ca="1">'Price Data'!L51</f>
        <v>362.76</v>
      </c>
      <c r="W53" s="25">
        <f t="shared" ca="1" si="9"/>
        <v>-0.11288260028643757</v>
      </c>
      <c r="X53" s="15" vm="1507">
        <f ca="1">'Price Data'!M51</f>
        <v>772</v>
      </c>
      <c r="Y53" s="25">
        <f t="shared" ca="1" si="10"/>
        <v>-2.9797719319593317E-2</v>
      </c>
      <c r="Z53" s="15" vm="1508">
        <f ca="1">'Price Data'!N51</f>
        <v>189.3</v>
      </c>
      <c r="AA53" s="25">
        <f t="shared" ca="1" si="11"/>
        <v>0.11373024505497835</v>
      </c>
      <c r="AB53" s="15" vm="1509">
        <f ca="1">'Price Data'!O51</f>
        <v>129.09</v>
      </c>
      <c r="AC53" s="25">
        <f t="shared" ca="1" si="12"/>
        <v>-3.3816336177254616E-2</v>
      </c>
      <c r="AD53" s="15" vm="1510">
        <f ca="1">'Price Data'!P51</f>
        <v>107.57</v>
      </c>
      <c r="AE53" s="25">
        <f t="shared" ca="1" si="13"/>
        <v>-9.220378550316144E-2</v>
      </c>
      <c r="AF53" s="15" vm="1511">
        <f ca="1">'Price Data'!Q51</f>
        <v>206.26</v>
      </c>
      <c r="AG53" s="25">
        <f t="shared" ca="1" si="14"/>
        <v>-3.0274957019924637E-2</v>
      </c>
      <c r="AH53" s="15" vm="1512">
        <f ca="1">'Price Data'!R51</f>
        <v>219.83</v>
      </c>
      <c r="AI53" s="25">
        <f t="shared" ca="1" si="15"/>
        <v>-3.3900035351312252E-2</v>
      </c>
      <c r="AJ53" s="15" vm="1513">
        <f ca="1">'Price Data'!S51</f>
        <v>250.42</v>
      </c>
      <c r="AK53" s="25">
        <f t="shared" ca="1" si="16"/>
        <v>5.3687930539386738E-2</v>
      </c>
      <c r="AL53" s="15" vm="1514">
        <f ca="1">'Price Data'!T51</f>
        <v>388.99</v>
      </c>
      <c r="AM53" s="25">
        <f t="shared" ca="1" si="17"/>
        <v>-9.8206266979495166E-2</v>
      </c>
      <c r="AN53" s="15" vm="1515">
        <f ca="1">'Price Data'!U51</f>
        <v>239.71</v>
      </c>
      <c r="AO53" s="25">
        <f t="shared" ca="1" si="18"/>
        <v>-4.0910430808224575E-2</v>
      </c>
      <c r="AP53" s="15" vm="521">
        <f ca="1">'Price Data'!V51</f>
        <v>118.53</v>
      </c>
      <c r="AQ53" s="25">
        <f t="shared" ca="1" si="19"/>
        <v>-8.7819565742169647E-2</v>
      </c>
      <c r="AR53" s="15" vm="1516">
        <f ca="1">'Price Data'!W51</f>
        <v>22.77</v>
      </c>
      <c r="AS53" s="25">
        <f t="shared" ca="1" si="20"/>
        <v>-1.6982772629146305E-2</v>
      </c>
      <c r="AT53" s="15" vm="1517">
        <f ca="1">'Price Data'!X51</f>
        <v>61.15</v>
      </c>
      <c r="AU53" s="25">
        <f t="shared" ca="1" si="21"/>
        <v>1.1453817827496073E-3</v>
      </c>
      <c r="AV53" s="15" vm="1518">
        <f ca="1">'Price Data'!Y51</f>
        <v>26.53</v>
      </c>
      <c r="AW53" s="25">
        <f t="shared" ca="1" si="22"/>
        <v>1.213515081433331E-2</v>
      </c>
      <c r="AX53" s="15" vm="1519">
        <f ca="1">'Price Data'!Z51</f>
        <v>526.57000000000005</v>
      </c>
      <c r="AY53" s="25">
        <f t="shared" ca="1" si="23"/>
        <v>-1.202457127006544E-2</v>
      </c>
      <c r="AZ53" s="15" vm="1520">
        <f ca="1">'Price Data'!AA51</f>
        <v>421.5</v>
      </c>
      <c r="BA53" s="25">
        <f t="shared" ca="1" si="24"/>
        <v>-4.6392811858800946E-3</v>
      </c>
      <c r="BB53" s="15" vm="1521">
        <f ca="1">'Price Data'!AB51</f>
        <v>134.16</v>
      </c>
      <c r="BC53" s="25">
        <f t="shared" ca="1" si="25"/>
        <v>-3.5009067749781499E-2</v>
      </c>
      <c r="BD53" s="15" vm="1522">
        <f ca="1">'Price Data'!AC51</f>
        <v>90.35</v>
      </c>
      <c r="BE53" s="25">
        <f t="shared" ca="1" si="26"/>
        <v>-2.3517627480142109E-2</v>
      </c>
      <c r="BF53" s="15" vm="1523">
        <f ca="1">'Price Data'!AD51</f>
        <v>62.26</v>
      </c>
      <c r="BG53" s="25">
        <f t="shared" ca="1" si="27"/>
        <v>-2.8813137746641685E-2</v>
      </c>
      <c r="BH53" s="15" vm="1524">
        <f ca="1">'Price Data'!AE51</f>
        <v>289.89</v>
      </c>
      <c r="BI53" s="25">
        <f t="shared" ca="1" si="28"/>
        <v>-2.0891696857858109E-2</v>
      </c>
      <c r="BJ53" s="15" vm="1525">
        <f ca="1">'Price Data'!AF51</f>
        <v>588.67999999999995</v>
      </c>
      <c r="BK53" s="25">
        <f t="shared" ca="1" si="29"/>
        <v>-2.7461411521252803E-2</v>
      </c>
    </row>
    <row r="54" spans="1:63" x14ac:dyDescent="0.25">
      <c r="A54" s="24">
        <f t="shared" ca="1" si="30"/>
        <v>45658</v>
      </c>
      <c r="B54" s="15" vm="1526">
        <f ca="1">'Price Data'!B52</f>
        <v>404.6</v>
      </c>
      <c r="C54" s="25">
        <f t="shared" ca="1" si="31"/>
        <v>1.8801648208516136E-3</v>
      </c>
      <c r="D54" s="15" vm="1527">
        <f ca="1">'Price Data'!C52</f>
        <v>266.60000000000002</v>
      </c>
      <c r="E54" s="25">
        <f t="shared" ca="1" si="0"/>
        <v>0.14467458984161458</v>
      </c>
      <c r="F54" s="15" vm="1528">
        <f ca="1">'Price Data'!D52</f>
        <v>120.07</v>
      </c>
      <c r="G54" s="25">
        <f t="shared" ca="1" si="1"/>
        <v>-0.11192673455045726</v>
      </c>
      <c r="H54" s="15" vm="1529">
        <f ca="1">'Price Data'!E52</f>
        <v>105.84</v>
      </c>
      <c r="I54" s="25">
        <f t="shared" ca="1" si="2"/>
        <v>8.6187144509421124E-2</v>
      </c>
      <c r="J54" s="15" vm="1530">
        <f ca="1">'Price Data'!F52</f>
        <v>689.18</v>
      </c>
      <c r="K54" s="25">
        <f t="shared" ca="1" si="3"/>
        <v>0.16301922276884984</v>
      </c>
      <c r="L54" s="15" vm="1531">
        <f ca="1">'Price Data'!G52</f>
        <v>9.9205000000000005</v>
      </c>
      <c r="M54" s="25">
        <f t="shared" ca="1" si="4"/>
        <v>1.801319053542819E-2</v>
      </c>
      <c r="N54" s="15" vm="1532">
        <f ca="1">'Price Data'!H52</f>
        <v>27.06</v>
      </c>
      <c r="O54" s="25">
        <f t="shared" ca="1" si="5"/>
        <v>-0.10746473039956796</v>
      </c>
      <c r="P54" s="15" vm="1533">
        <f ca="1">'Price Data'!I52</f>
        <v>39.57</v>
      </c>
      <c r="Q54" s="25">
        <f t="shared" ca="1" si="6"/>
        <v>-3.7206672571134233E-2</v>
      </c>
      <c r="R54" s="15" vm="1534">
        <f ca="1">'Price Data'!J52</f>
        <v>176.52</v>
      </c>
      <c r="S54" s="25">
        <f t="shared" ca="1" si="7"/>
        <v>-2.7155481724826388E-3</v>
      </c>
      <c r="T54" s="15" vm="189">
        <f ca="1">'Price Data'!K52</f>
        <v>58.35</v>
      </c>
      <c r="U54" s="25">
        <f t="shared" ca="1" si="8"/>
        <v>-3.2872745000574674E-2</v>
      </c>
      <c r="V54" s="15" vm="1535">
        <f ca="1">'Price Data'!L52</f>
        <v>371.44</v>
      </c>
      <c r="W54" s="25">
        <f t="shared" ca="1" si="9"/>
        <v>2.3645885132299337E-2</v>
      </c>
      <c r="X54" s="15" vm="1536">
        <f ca="1">'Price Data'!M52</f>
        <v>811.08</v>
      </c>
      <c r="Y54" s="25">
        <f t="shared" ca="1" si="10"/>
        <v>4.9382142875486923E-2</v>
      </c>
      <c r="Z54" s="15" vm="1537">
        <f ca="1">'Price Data'!N52</f>
        <v>204.02</v>
      </c>
      <c r="AA54" s="25">
        <f t="shared" ca="1" si="11"/>
        <v>7.4884970039095583E-2</v>
      </c>
      <c r="AB54" s="15" vm="1538">
        <f ca="1">'Price Data'!O52</f>
        <v>152.19999999999999</v>
      </c>
      <c r="AC54" s="25">
        <f t="shared" ca="1" si="12"/>
        <v>0.16468560990896747</v>
      </c>
      <c r="AD54" s="15" vm="1539">
        <f ca="1">'Price Data'!P52</f>
        <v>106.83</v>
      </c>
      <c r="AE54" s="25">
        <f t="shared" ca="1" si="13"/>
        <v>-6.9030124861179489E-3</v>
      </c>
      <c r="AF54" s="15" vm="566">
        <f ca="1">'Price Data'!Q52</f>
        <v>215.85</v>
      </c>
      <c r="AG54" s="25">
        <f t="shared" ca="1" si="14"/>
        <v>4.5446213113563526E-2</v>
      </c>
      <c r="AH54" s="15" vm="1540">
        <f ca="1">'Price Data'!R52</f>
        <v>255.7</v>
      </c>
      <c r="AI54" s="25">
        <f t="shared" ca="1" si="15"/>
        <v>0.15115036192511511</v>
      </c>
      <c r="AJ54" s="15" vm="1541">
        <f ca="1">'Price Data'!S52</f>
        <v>236</v>
      </c>
      <c r="AK54" s="25">
        <f t="shared" ca="1" si="16"/>
        <v>-5.9307703215191486E-2</v>
      </c>
      <c r="AL54" s="15" vm="1542">
        <f ca="1">'Price Data'!T52</f>
        <v>411.98</v>
      </c>
      <c r="AM54" s="25">
        <f t="shared" ca="1" si="17"/>
        <v>5.7421168134779842E-2</v>
      </c>
      <c r="AN54" s="15" vm="1543">
        <f ca="1">'Price Data'!U52</f>
        <v>267.3</v>
      </c>
      <c r="AO54" s="25">
        <f t="shared" ca="1" si="18"/>
        <v>0.10894176375955462</v>
      </c>
      <c r="AP54" s="15" vm="1544">
        <f ca="1">'Price Data'!V52</f>
        <v>120.76</v>
      </c>
      <c r="AQ54" s="25">
        <f t="shared" ca="1" si="19"/>
        <v>1.863901174722896E-2</v>
      </c>
      <c r="AR54" s="15" vm="1545">
        <f ca="1">'Price Data'!W52</f>
        <v>23.73</v>
      </c>
      <c r="AS54" s="25">
        <f t="shared" ca="1" si="20"/>
        <v>4.1296190372024068E-2</v>
      </c>
      <c r="AT54" s="15" vm="1546">
        <f ca="1">'Price Data'!X52</f>
        <v>61.64</v>
      </c>
      <c r="AU54" s="25">
        <f t="shared" ca="1" si="21"/>
        <v>7.9811483187336198E-3</v>
      </c>
      <c r="AV54" s="15" vm="1547">
        <f ca="1">'Price Data'!Y52</f>
        <v>26.52</v>
      </c>
      <c r="AW54" s="25">
        <f t="shared" ca="1" si="22"/>
        <v>-3.7700283198656344E-4</v>
      </c>
      <c r="AX54" s="15" vm="1548">
        <f ca="1">'Price Data'!Z52</f>
        <v>555.42999999999995</v>
      </c>
      <c r="AY54" s="25">
        <f t="shared" ca="1" si="23"/>
        <v>5.3358312335381318E-2</v>
      </c>
      <c r="AZ54" s="15" vm="1549">
        <f ca="1">'Price Data'!AA52</f>
        <v>415.06</v>
      </c>
      <c r="BA54" s="25">
        <f t="shared" ca="1" si="24"/>
        <v>-1.539668934839585E-2</v>
      </c>
      <c r="BB54" s="15" vm="1550">
        <f ca="1">'Price Data'!AB52</f>
        <v>130.5</v>
      </c>
      <c r="BC54" s="25">
        <f t="shared" ca="1" si="25"/>
        <v>-2.7659890752205239E-2</v>
      </c>
      <c r="BD54" s="15" vm="1551">
        <f ca="1">'Price Data'!AC52</f>
        <v>98.16</v>
      </c>
      <c r="BE54" s="25">
        <f t="shared" ca="1" si="26"/>
        <v>8.290778336441848E-2</v>
      </c>
      <c r="BF54" s="15" vm="1552">
        <f ca="1">'Price Data'!AD52</f>
        <v>63.48</v>
      </c>
      <c r="BG54" s="25">
        <f t="shared" ca="1" si="27"/>
        <v>1.9405730644746252E-2</v>
      </c>
      <c r="BH54" s="15" vm="1553">
        <f ca="1">'Price Data'!AE52</f>
        <v>288.7</v>
      </c>
      <c r="BI54" s="25">
        <f t="shared" ca="1" si="28"/>
        <v>-4.1134540104373766E-3</v>
      </c>
      <c r="BJ54" s="15" vm="1554">
        <f ca="1">'Price Data'!AF52</f>
        <v>604.66</v>
      </c>
      <c r="BK54" s="25">
        <f t="shared" ca="1" si="29"/>
        <v>2.6783574291956321E-2</v>
      </c>
    </row>
    <row r="55" spans="1:63" x14ac:dyDescent="0.25">
      <c r="A55" s="24">
        <f t="shared" ca="1" si="30"/>
        <v>45689</v>
      </c>
      <c r="B55" s="15" vm="1555">
        <f ca="1">'Price Data'!B53</f>
        <v>292.98</v>
      </c>
      <c r="C55" s="25">
        <f t="shared" ca="1" si="31"/>
        <v>-0.32279457743202117</v>
      </c>
      <c r="D55" s="15" vm="1556">
        <f ca="1">'Price Data'!C53</f>
        <v>246.1</v>
      </c>
      <c r="E55" s="25">
        <f t="shared" ca="1" si="0"/>
        <v>-8.0011450347598184E-2</v>
      </c>
      <c r="F55" s="15" vm="1557">
        <f ca="1">'Price Data'!D53</f>
        <v>124.92</v>
      </c>
      <c r="G55" s="25">
        <f t="shared" ca="1" si="1"/>
        <v>3.9598626372251249E-2</v>
      </c>
      <c r="H55" s="15" vm="1558">
        <f ca="1">'Price Data'!E53</f>
        <v>93.81</v>
      </c>
      <c r="I55" s="25">
        <f t="shared" ca="1" si="2"/>
        <v>-0.12065705966884066</v>
      </c>
      <c r="J55" s="15" vm="1559">
        <f ca="1">'Price Data'!F53</f>
        <v>668.2</v>
      </c>
      <c r="K55" s="25">
        <f t="shared" ca="1" si="3"/>
        <v>-3.0914955157413812E-2</v>
      </c>
      <c r="L55" s="15" vm="1560">
        <f ca="1">'Price Data'!G53</f>
        <v>9.5500000000000007</v>
      </c>
      <c r="M55" s="25">
        <f t="shared" ca="1" si="4"/>
        <v>-3.8062168759749111E-2</v>
      </c>
      <c r="N55" s="15" vm="1561">
        <f ca="1">'Price Data'!H53</f>
        <v>25.76</v>
      </c>
      <c r="O55" s="25">
        <f t="shared" ca="1" si="5"/>
        <v>-4.9233721506489053E-2</v>
      </c>
      <c r="P55" s="15" vm="1562">
        <f ca="1">'Price Data'!I53</f>
        <v>45.35</v>
      </c>
      <c r="Q55" s="25">
        <f t="shared" ca="1" si="6"/>
        <v>0.1363389211638128</v>
      </c>
      <c r="R55" s="15" vm="1563">
        <f ca="1">'Price Data'!J53</f>
        <v>174.63</v>
      </c>
      <c r="S55" s="25">
        <f t="shared" ca="1" si="7"/>
        <v>-1.0764734449592759E-2</v>
      </c>
      <c r="T55" s="15" vm="1564">
        <f ca="1">'Price Data'!K53</f>
        <v>53.97</v>
      </c>
      <c r="U55" s="25">
        <f t="shared" ca="1" si="8"/>
        <v>-7.8031022102013556E-2</v>
      </c>
      <c r="V55" s="15" vm="1565">
        <f ca="1">'Price Data'!L53</f>
        <v>343.95</v>
      </c>
      <c r="W55" s="25">
        <f t="shared" ca="1" si="9"/>
        <v>-7.6891045739643171E-2</v>
      </c>
      <c r="X55" s="15" vm="1566">
        <f ca="1">'Price Data'!M53</f>
        <v>920.63</v>
      </c>
      <c r="Y55" s="25">
        <f t="shared" ca="1" si="10"/>
        <v>0.12669152539489079</v>
      </c>
      <c r="Z55" s="15" vm="1567">
        <f ca="1">'Price Data'!N53</f>
        <v>170.28</v>
      </c>
      <c r="AA55" s="25">
        <f t="shared" ca="1" si="11"/>
        <v>-0.18077388729442123</v>
      </c>
      <c r="AB55" s="15" vm="1568">
        <f ca="1">'Price Data'!O53</f>
        <v>155.12</v>
      </c>
      <c r="AC55" s="25">
        <f t="shared" ca="1" si="12"/>
        <v>1.9003565506810961E-2</v>
      </c>
      <c r="AD55" s="15" vm="1569">
        <f ca="1">'Price Data'!P53</f>
        <v>111.33</v>
      </c>
      <c r="AE55" s="25">
        <f t="shared" ca="1" si="13"/>
        <v>4.1259977782819875E-2</v>
      </c>
      <c r="AF55" s="15" vm="1570">
        <f ca="1">'Price Data'!Q53</f>
        <v>228.93</v>
      </c>
      <c r="AG55" s="25">
        <f t="shared" ca="1" si="14"/>
        <v>5.8832557968165014E-2</v>
      </c>
      <c r="AH55" s="15" vm="1571">
        <f ca="1">'Price Data'!R53</f>
        <v>252.44</v>
      </c>
      <c r="AI55" s="25">
        <f t="shared" ca="1" si="15"/>
        <v>-1.283128558110211E-2</v>
      </c>
      <c r="AJ55" s="15" vm="1572">
        <f ca="1">'Price Data'!S53</f>
        <v>241.84</v>
      </c>
      <c r="AK55" s="25">
        <f t="shared" ca="1" si="16"/>
        <v>2.4444545445592488E-2</v>
      </c>
      <c r="AL55" s="15" vm="1573">
        <f ca="1">'Price Data'!T53</f>
        <v>396.6</v>
      </c>
      <c r="AM55" s="25">
        <f t="shared" ca="1" si="17"/>
        <v>-3.8046588396227342E-2</v>
      </c>
      <c r="AN55" s="15" vm="1574">
        <f ca="1">'Price Data'!U53</f>
        <v>264.64999999999998</v>
      </c>
      <c r="AO55" s="25">
        <f t="shared" ca="1" si="18"/>
        <v>-9.9634248408768788E-3</v>
      </c>
      <c r="AP55" s="15" vm="1575">
        <f ca="1">'Price Data'!V53</f>
        <v>115.1</v>
      </c>
      <c r="AQ55" s="25">
        <f t="shared" ca="1" si="19"/>
        <v>-4.8003789110801193E-2</v>
      </c>
      <c r="AR55" s="15" vm="1576">
        <f ca="1">'Price Data'!W53</f>
        <v>27.41</v>
      </c>
      <c r="AS55" s="25">
        <f t="shared" ca="1" si="20"/>
        <v>0.14416783986702217</v>
      </c>
      <c r="AT55" s="15" vm="1577">
        <f ca="1">'Price Data'!X53</f>
        <v>64.819999999999993</v>
      </c>
      <c r="AU55" s="25">
        <f t="shared" ca="1" si="21"/>
        <v>5.0303187261486283E-2</v>
      </c>
      <c r="AV55" s="15" vm="1578">
        <f ca="1">'Price Data'!Y53</f>
        <v>26.43</v>
      </c>
      <c r="AW55" s="25">
        <f t="shared" ca="1" si="22"/>
        <v>-3.3994367014639148E-3</v>
      </c>
      <c r="AX55" s="15" vm="1579">
        <f ca="1">'Price Data'!Z53</f>
        <v>576.30999999999995</v>
      </c>
      <c r="AY55" s="25">
        <f t="shared" ca="1" si="23"/>
        <v>3.6903121827478291E-2</v>
      </c>
      <c r="AZ55" s="15" vm="1580">
        <f ca="1">'Price Data'!AA53</f>
        <v>396.99</v>
      </c>
      <c r="BA55" s="25">
        <f t="shared" ca="1" si="24"/>
        <v>-4.4511996640446451E-2</v>
      </c>
      <c r="BB55" s="15" vm="1581">
        <f ca="1">'Price Data'!AB53</f>
        <v>156.37</v>
      </c>
      <c r="BC55" s="25">
        <f t="shared" ca="1" si="25"/>
        <v>0.18085176709267081</v>
      </c>
      <c r="BD55" s="15" vm="1582">
        <f ca="1">'Price Data'!AC53</f>
        <v>98.61</v>
      </c>
      <c r="BE55" s="25">
        <f t="shared" ca="1" si="26"/>
        <v>4.5738759415817195E-3</v>
      </c>
      <c r="BF55" s="15" vm="1583">
        <f ca="1">'Price Data'!AD53</f>
        <v>71.209999999999994</v>
      </c>
      <c r="BG55" s="25">
        <f t="shared" ca="1" si="27"/>
        <v>0.11490836233582499</v>
      </c>
      <c r="BH55" s="15" vm="1584">
        <f ca="1">'Price Data'!AE53</f>
        <v>308.33</v>
      </c>
      <c r="BI55" s="25">
        <f t="shared" ca="1" si="28"/>
        <v>6.5782551306178022E-2</v>
      </c>
      <c r="BJ55" s="15" vm="1585">
        <f ca="1">'Price Data'!AF53</f>
        <v>597.04</v>
      </c>
      <c r="BK55" s="25">
        <f t="shared" ca="1" si="29"/>
        <v>-1.2682203764736336E-2</v>
      </c>
    </row>
    <row r="56" spans="1:63" x14ac:dyDescent="0.25">
      <c r="A56" s="24">
        <f t="shared" ca="1" si="30"/>
        <v>45717</v>
      </c>
      <c r="B56" s="15" vm="1586">
        <f ca="1">'Price Data'!B54</f>
        <v>259.16000000000003</v>
      </c>
      <c r="C56" s="25">
        <f t="shared" ca="1" si="31"/>
        <v>-0.12265871571986731</v>
      </c>
      <c r="D56" s="15" vm="1587">
        <f ca="1">'Price Data'!C54</f>
        <v>205.44</v>
      </c>
      <c r="E56" s="25">
        <f t="shared" ca="1" si="0"/>
        <v>-0.18058393689541388</v>
      </c>
      <c r="F56" s="15" vm="1588">
        <f ca="1">'Price Data'!D54</f>
        <v>108.38</v>
      </c>
      <c r="G56" s="25">
        <f t="shared" ca="1" si="1"/>
        <v>-0.14202996227690967</v>
      </c>
      <c r="H56" s="15" vm="1589">
        <f ca="1">'Price Data'!E54</f>
        <v>69.05</v>
      </c>
      <c r="I56" s="25">
        <f t="shared" ca="1" si="2"/>
        <v>-0.30644058028255855</v>
      </c>
      <c r="J56" s="15" vm="1590">
        <f ca="1">'Price Data'!F54</f>
        <v>576.36</v>
      </c>
      <c r="K56" s="25">
        <f t="shared" ca="1" si="3"/>
        <v>-0.14785506445792293</v>
      </c>
      <c r="L56" s="15" vm="1591">
        <f ca="1">'Price Data'!G54</f>
        <v>10.029999999999999</v>
      </c>
      <c r="M56" s="25">
        <f t="shared" ca="1" si="4"/>
        <v>4.9039447481205083E-2</v>
      </c>
      <c r="N56" s="15" vm="1592">
        <f ca="1">'Price Data'!H54</f>
        <v>25.25</v>
      </c>
      <c r="O56" s="25">
        <f t="shared" ca="1" si="5"/>
        <v>-1.9996745514784052E-2</v>
      </c>
      <c r="P56" s="15" vm="1593">
        <f ca="1">'Price Data'!I54</f>
        <v>41.08</v>
      </c>
      <c r="Q56" s="25">
        <f t="shared" ca="1" si="6"/>
        <v>-9.888879150078822E-2</v>
      </c>
      <c r="R56" s="15" vm="1594">
        <f ca="1">'Price Data'!J54</f>
        <v>170.55</v>
      </c>
      <c r="S56" s="25">
        <f t="shared" ca="1" si="7"/>
        <v>-2.3640941087098993E-2</v>
      </c>
      <c r="T56" s="15" vm="1595">
        <f ca="1">'Price Data'!K54</f>
        <v>50.21</v>
      </c>
      <c r="U56" s="25">
        <f t="shared" ca="1" si="8"/>
        <v>-7.2214126583937263E-2</v>
      </c>
      <c r="V56" s="15" vm="1596">
        <f ca="1">'Price Data'!L54</f>
        <v>329.8</v>
      </c>
      <c r="W56" s="25">
        <f t="shared" ca="1" si="9"/>
        <v>-4.2009887846524596E-2</v>
      </c>
      <c r="X56" s="15" vm="1597">
        <f ca="1">'Price Data'!M54</f>
        <v>825.91</v>
      </c>
      <c r="Y56" s="25">
        <f t="shared" ca="1" si="10"/>
        <v>-0.10857240954839363</v>
      </c>
      <c r="Z56" s="15" vm="1598">
        <f ca="1">'Price Data'!N54</f>
        <v>154.63999999999999</v>
      </c>
      <c r="AA56" s="25">
        <f t="shared" ca="1" si="11"/>
        <v>-9.6344306059876303E-2</v>
      </c>
      <c r="AB56" s="15" vm="1599">
        <f ca="1">'Price Data'!O54</f>
        <v>146.86000000000001</v>
      </c>
      <c r="AC56" s="25">
        <f t="shared" ca="1" si="12"/>
        <v>-5.471925891093192E-2</v>
      </c>
      <c r="AD56" s="15" vm="110">
        <f ca="1">'Price Data'!P54</f>
        <v>118.93</v>
      </c>
      <c r="AE56" s="25">
        <f t="shared" ca="1" si="13"/>
        <v>6.603632099853822E-2</v>
      </c>
      <c r="AF56" s="15" vm="1600">
        <f ca="1">'Price Data'!Q54</f>
        <v>217.13</v>
      </c>
      <c r="AG56" s="25">
        <f t="shared" ca="1" si="14"/>
        <v>-5.2920027463970981E-2</v>
      </c>
      <c r="AH56" s="15" vm="1601">
        <f ca="1">'Price Data'!R54</f>
        <v>248.66</v>
      </c>
      <c r="AI56" s="25">
        <f t="shared" ca="1" si="15"/>
        <v>-1.5087095191247282E-2</v>
      </c>
      <c r="AJ56" s="15" vm="1602">
        <f ca="1">'Price Data'!S54</f>
        <v>222.13</v>
      </c>
      <c r="AK56" s="25">
        <f t="shared" ca="1" si="16"/>
        <v>-8.5013554401671576E-2</v>
      </c>
      <c r="AL56" s="15" vm="1603">
        <f ca="1">'Price Data'!T54</f>
        <v>366.49</v>
      </c>
      <c r="AM56" s="25">
        <f t="shared" ca="1" si="17"/>
        <v>-7.895698026083979E-2</v>
      </c>
      <c r="AN56" s="15" vm="1604">
        <f ca="1">'Price Data'!U54</f>
        <v>245.3</v>
      </c>
      <c r="AO56" s="25">
        <f t="shared" ca="1" si="18"/>
        <v>-7.5926247039552752E-2</v>
      </c>
      <c r="AP56" s="15" vm="1605">
        <f ca="1">'Price Data'!V54</f>
        <v>111.68</v>
      </c>
      <c r="AQ56" s="25">
        <f t="shared" ca="1" si="19"/>
        <v>-3.0163676713774509E-2</v>
      </c>
      <c r="AR56" s="15" vm="1606">
        <f ca="1">'Price Data'!W54</f>
        <v>28.28</v>
      </c>
      <c r="AS56" s="25">
        <f t="shared" ca="1" si="20"/>
        <v>3.124693071367763E-2</v>
      </c>
      <c r="AT56" s="15" vm="1607">
        <f ca="1">'Price Data'!X54</f>
        <v>67.69</v>
      </c>
      <c r="AU56" s="25">
        <f t="shared" ca="1" si="21"/>
        <v>4.3324260807115031E-2</v>
      </c>
      <c r="AV56" s="15" vm="1608">
        <f ca="1">'Price Data'!Y54</f>
        <v>25.34</v>
      </c>
      <c r="AW56" s="25">
        <f t="shared" ca="1" si="22"/>
        <v>-4.211555372320485E-2</v>
      </c>
      <c r="AX56" s="15" vm="1609">
        <f ca="1">'Price Data'!Z54</f>
        <v>548.12</v>
      </c>
      <c r="AY56" s="25">
        <f t="shared" ca="1" si="23"/>
        <v>-5.0151469287647667E-2</v>
      </c>
      <c r="AZ56" s="15" vm="62">
        <f ca="1">'Price Data'!AA54</f>
        <v>375.39</v>
      </c>
      <c r="BA56" s="25">
        <f t="shared" ca="1" si="24"/>
        <v>-5.594560590799455E-2</v>
      </c>
      <c r="BB56" s="15" vm="1610">
        <f ca="1">'Price Data'!AB54</f>
        <v>157.36000000000001</v>
      </c>
      <c r="BC56" s="25">
        <f t="shared" ca="1" si="25"/>
        <v>6.3111802253846992E-3</v>
      </c>
      <c r="BD56" s="15" vm="1611">
        <f ca="1">'Price Data'!AC54</f>
        <v>87.79</v>
      </c>
      <c r="BE56" s="25">
        <f t="shared" ca="1" si="26"/>
        <v>-0.11622507740612029</v>
      </c>
      <c r="BF56" s="15" vm="1612">
        <f ca="1">'Price Data'!AD54</f>
        <v>71.62</v>
      </c>
      <c r="BG56" s="25">
        <f t="shared" ca="1" si="27"/>
        <v>5.7411065762533421E-3</v>
      </c>
      <c r="BH56" s="15" vm="1613">
        <f ca="1">'Price Data'!AE54</f>
        <v>312.37</v>
      </c>
      <c r="BI56" s="25">
        <f t="shared" ca="1" si="28"/>
        <v>1.3017744649384285E-2</v>
      </c>
      <c r="BJ56" s="15" vm="1614">
        <f ca="1">'Price Data'!AF54</f>
        <v>561.9</v>
      </c>
      <c r="BK56" s="25">
        <f t="shared" ca="1" si="29"/>
        <v>-6.0660214704979398E-2</v>
      </c>
    </row>
    <row r="57" spans="1:63" x14ac:dyDescent="0.25">
      <c r="A57" s="24">
        <f t="shared" ca="1" si="30"/>
        <v>45748</v>
      </c>
      <c r="B57" s="15" vm="1615">
        <f ca="1">'Price Data'!B55</f>
        <v>282.16000000000003</v>
      </c>
      <c r="C57" s="25">
        <f t="shared" ca="1" si="31"/>
        <v>8.5028654346040039E-2</v>
      </c>
      <c r="D57" s="15" vm="1616">
        <f ca="1">'Price Data'!C55</f>
        <v>214.91</v>
      </c>
      <c r="E57" s="25">
        <f t="shared" ca="1" si="0"/>
        <v>4.5065315335518337E-2</v>
      </c>
      <c r="F57" s="15" vm="1617">
        <f ca="1">'Price Data'!D55</f>
        <v>108.92</v>
      </c>
      <c r="G57" s="25">
        <f t="shared" ca="1" si="1"/>
        <v>4.9700976675906769E-3</v>
      </c>
      <c r="H57" s="15" vm="1618">
        <f ca="1">'Price Data'!E55</f>
        <v>68.819999999999993</v>
      </c>
      <c r="I57" s="25">
        <f t="shared" ca="1" si="2"/>
        <v>-3.3364794859668681E-3</v>
      </c>
      <c r="J57" s="15" vm="1619">
        <f ca="1">'Price Data'!F55</f>
        <v>549</v>
      </c>
      <c r="K57" s="25">
        <f t="shared" ca="1" si="3"/>
        <v>-4.8634023955202679E-2</v>
      </c>
      <c r="L57" s="15" vm="1620">
        <f ca="1">'Price Data'!G55</f>
        <v>10.01</v>
      </c>
      <c r="M57" s="25">
        <f t="shared" ca="1" si="4"/>
        <v>-1.9960086467149273E-3</v>
      </c>
      <c r="N57" s="15" vm="1621">
        <f ca="1">'Price Data'!H55</f>
        <v>22.42</v>
      </c>
      <c r="O57" s="25">
        <f t="shared" ca="1" si="5"/>
        <v>-0.11887273807735484</v>
      </c>
      <c r="P57" s="15" vm="1622">
        <f ca="1">'Price Data'!I55</f>
        <v>34.53</v>
      </c>
      <c r="Q57" s="25">
        <f t="shared" ca="1" si="6"/>
        <v>-0.17369287365845637</v>
      </c>
      <c r="R57" s="15" vm="1623">
        <f ca="1">'Price Data'!J55</f>
        <v>183.24</v>
      </c>
      <c r="S57" s="25">
        <f t="shared" ca="1" si="7"/>
        <v>7.1768260153886557E-2</v>
      </c>
      <c r="T57" s="15" vm="1624">
        <f ca="1">'Price Data'!K55</f>
        <v>50.52</v>
      </c>
      <c r="U57" s="25">
        <f t="shared" ca="1" si="8"/>
        <v>6.1550874356762399E-3</v>
      </c>
      <c r="V57" s="15" vm="1625">
        <f ca="1">'Price Data'!L55</f>
        <v>309.27</v>
      </c>
      <c r="W57" s="25">
        <f t="shared" ca="1" si="9"/>
        <v>-6.42717283490956E-2</v>
      </c>
      <c r="X57" s="15" vm="1626">
        <f ca="1">'Price Data'!M55</f>
        <v>898.95</v>
      </c>
      <c r="Y57" s="25">
        <f t="shared" ca="1" si="10"/>
        <v>8.4741606825543714E-2</v>
      </c>
      <c r="Z57" s="15" vm="1627">
        <f ca="1">'Price Data'!N55</f>
        <v>158.80000000000001</v>
      </c>
      <c r="AA57" s="25">
        <f t="shared" ca="1" si="11"/>
        <v>2.6545713912960005E-2</v>
      </c>
      <c r="AB57" s="15" vm="1628">
        <f ca="1">'Price Data'!O55</f>
        <v>138.91</v>
      </c>
      <c r="AC57" s="25">
        <f t="shared" ca="1" si="12"/>
        <v>-5.5653510614166651E-2</v>
      </c>
      <c r="AD57" s="15" vm="1629">
        <f ca="1">'Price Data'!P55</f>
        <v>105.63</v>
      </c>
      <c r="AE57" s="25">
        <f t="shared" ca="1" si="13"/>
        <v>-0.11859266290408328</v>
      </c>
      <c r="AF57" s="15" vm="1630">
        <f ca="1">'Price Data'!Q55</f>
        <v>186.87</v>
      </c>
      <c r="AG57" s="25">
        <f t="shared" ca="1" si="14"/>
        <v>-0.15008306457151666</v>
      </c>
      <c r="AH57" s="15" vm="1631">
        <f ca="1">'Price Data'!R55</f>
        <v>241.82</v>
      </c>
      <c r="AI57" s="25">
        <f t="shared" ca="1" si="15"/>
        <v>-2.7892853778690836E-2</v>
      </c>
      <c r="AJ57" s="15" vm="1632">
        <f ca="1">'Price Data'!S55</f>
        <v>212.5</v>
      </c>
      <c r="AK57" s="25">
        <f t="shared" ca="1" si="16"/>
        <v>-4.4320807705059605E-2</v>
      </c>
      <c r="AL57" s="15" vm="1633">
        <f ca="1">'Price Data'!T55</f>
        <v>360.49</v>
      </c>
      <c r="AM57" s="25">
        <f t="shared" ca="1" si="17"/>
        <v>-1.6507018735632494E-2</v>
      </c>
      <c r="AN57" s="15" vm="1634">
        <f ca="1">'Price Data'!U55</f>
        <v>244.62</v>
      </c>
      <c r="AO57" s="25">
        <f t="shared" ca="1" si="18"/>
        <v>-2.7759652052265827E-3</v>
      </c>
      <c r="AP57" s="15" vm="1635">
        <f ca="1">'Price Data'!V55</f>
        <v>102.71</v>
      </c>
      <c r="AQ57" s="25">
        <f t="shared" ca="1" si="19"/>
        <v>-8.372815583634953E-2</v>
      </c>
      <c r="AR57" s="15" vm="1636">
        <f ca="1">'Price Data'!W55</f>
        <v>27.7</v>
      </c>
      <c r="AS57" s="25">
        <f t="shared" ca="1" si="20"/>
        <v>-2.0722427835079292E-2</v>
      </c>
      <c r="AT57" s="15" vm="1637">
        <f ca="1">'Price Data'!X55</f>
        <v>72.209999999999994</v>
      </c>
      <c r="AU57" s="25">
        <f t="shared" ca="1" si="21"/>
        <v>6.4640081942573979E-2</v>
      </c>
      <c r="AV57" s="15" vm="1638">
        <f ca="1">'Price Data'!Y55</f>
        <v>24.41</v>
      </c>
      <c r="AW57" s="25">
        <f t="shared" ca="1" si="22"/>
        <v>-3.7391290488124285E-2</v>
      </c>
      <c r="AX57" s="15" vm="1639">
        <f ca="1">'Price Data'!Z55</f>
        <v>548.05999999999995</v>
      </c>
      <c r="AY57" s="25">
        <f t="shared" ca="1" si="23"/>
        <v>-1.094710723785605E-4</v>
      </c>
      <c r="AZ57" s="15" vm="1640">
        <f ca="1">'Price Data'!AA55</f>
        <v>395.26</v>
      </c>
      <c r="BA57" s="25">
        <f t="shared" ca="1" si="24"/>
        <v>5.1578290667215164E-2</v>
      </c>
      <c r="BB57" s="15" vm="1641">
        <f ca="1">'Price Data'!AB55</f>
        <v>150.44</v>
      </c>
      <c r="BC57" s="25">
        <f t="shared" ca="1" si="25"/>
        <v>-4.4971840478668063E-2</v>
      </c>
      <c r="BD57" s="15" vm="1642">
        <f ca="1">'Price Data'!AC55</f>
        <v>97.25</v>
      </c>
      <c r="BE57" s="25">
        <f t="shared" ca="1" si="26"/>
        <v>0.10233738356043819</v>
      </c>
      <c r="BF57" s="15" vm="1643">
        <f ca="1">'Price Data'!AD55</f>
        <v>72.55</v>
      </c>
      <c r="BG57" s="25">
        <f t="shared" ca="1" si="27"/>
        <v>1.2901614759910111E-2</v>
      </c>
      <c r="BH57" s="15" vm="1644">
        <f ca="1">'Price Data'!AE55</f>
        <v>319.64999999999998</v>
      </c>
      <c r="BI57" s="25">
        <f t="shared" ca="1" si="28"/>
        <v>2.3038264588284198E-2</v>
      </c>
      <c r="BJ57" s="15" vm="1645">
        <f ca="1">'Price Data'!AF55</f>
        <v>557.96</v>
      </c>
      <c r="BK57" s="25">
        <f t="shared" ca="1" si="29"/>
        <v>-7.036622894117917E-3</v>
      </c>
    </row>
    <row r="58" spans="1:63" x14ac:dyDescent="0.25">
      <c r="A58" s="24">
        <f t="shared" ca="1" si="30"/>
        <v>45778</v>
      </c>
      <c r="B58" s="15" vm="1646">
        <f ca="1">'Price Data'!B56</f>
        <v>346.46</v>
      </c>
      <c r="C58" s="25">
        <f t="shared" ca="1" si="31"/>
        <v>0.20529308592299816</v>
      </c>
      <c r="D58" s="15" vm="1647">
        <f ca="1">'Price Data'!C56</f>
        <v>256.97000000000003</v>
      </c>
      <c r="E58" s="25">
        <f t="shared" ca="1" si="0"/>
        <v>0.17874001072694168</v>
      </c>
      <c r="F58" s="15" vm="1648">
        <f ca="1">'Price Data'!D56</f>
        <v>135.13</v>
      </c>
      <c r="G58" s="25">
        <f t="shared" ca="1" si="1"/>
        <v>0.21562361024443585</v>
      </c>
      <c r="H58" s="15" vm="1649">
        <f ca="1">'Price Data'!E56</f>
        <v>79.444999999999993</v>
      </c>
      <c r="I58" s="25">
        <f t="shared" ca="1" si="2"/>
        <v>0.14357055797099605</v>
      </c>
      <c r="J58" s="15" vm="1650">
        <f ca="1">'Price Data'!F56</f>
        <v>647.49</v>
      </c>
      <c r="K58" s="25">
        <f t="shared" ca="1" si="3"/>
        <v>0.1650049079294581</v>
      </c>
      <c r="L58" s="15" vm="1651">
        <f ca="1">'Price Data'!G56</f>
        <v>10.38</v>
      </c>
      <c r="M58" s="25">
        <f t="shared" ca="1" si="4"/>
        <v>3.6296284410613548E-2</v>
      </c>
      <c r="N58" s="15" vm="1652">
        <f ca="1">'Price Data'!H56</f>
        <v>24.21</v>
      </c>
      <c r="O58" s="25">
        <f t="shared" ca="1" si="5"/>
        <v>7.6812353305953221E-2</v>
      </c>
      <c r="P58" s="15" vm="1653">
        <f ca="1">'Price Data'!I56</f>
        <v>45.25</v>
      </c>
      <c r="Q58" s="25">
        <f t="shared" ca="1" si="6"/>
        <v>0.2703741587440342</v>
      </c>
      <c r="R58" s="15" vm="1654">
        <f ca="1">'Price Data'!J56</f>
        <v>207.32</v>
      </c>
      <c r="S58" s="25">
        <f t="shared" ca="1" si="7"/>
        <v>0.12346672430296425</v>
      </c>
      <c r="T58" s="15" vm="1655">
        <f ca="1">'Price Data'!K56</f>
        <v>50.08</v>
      </c>
      <c r="U58" s="25">
        <f t="shared" ca="1" si="8"/>
        <v>-8.7475706904473777E-3</v>
      </c>
      <c r="V58" s="15" vm="1656">
        <f ca="1">'Price Data'!L56</f>
        <v>348.03</v>
      </c>
      <c r="W58" s="25">
        <f t="shared" ca="1" si="9"/>
        <v>0.11807400117902199</v>
      </c>
      <c r="X58" s="15" vm="1657">
        <f ca="1">'Price Data'!M56</f>
        <v>737.67</v>
      </c>
      <c r="Y58" s="25">
        <f t="shared" ca="1" si="10"/>
        <v>-0.1977308454467494</v>
      </c>
      <c r="Z58" s="15" vm="1658">
        <f ca="1">'Price Data'!N56</f>
        <v>171.74</v>
      </c>
      <c r="AA58" s="25">
        <f t="shared" ca="1" si="11"/>
        <v>7.8336156431303372E-2</v>
      </c>
      <c r="AB58" s="15" vm="1659">
        <f ca="1">'Price Data'!O56</f>
        <v>148.35</v>
      </c>
      <c r="AC58" s="25">
        <f t="shared" ca="1" si="12"/>
        <v>6.574810532753296E-2</v>
      </c>
      <c r="AD58" s="15" vm="1660">
        <f ca="1">'Price Data'!P56</f>
        <v>102.3</v>
      </c>
      <c r="AE58" s="25">
        <f t="shared" ca="1" si="13"/>
        <v>-3.2032748877489997E-2</v>
      </c>
      <c r="AF58" s="15" vm="1661">
        <f ca="1">'Price Data'!Q56</f>
        <v>202.97</v>
      </c>
      <c r="AG58" s="25">
        <f t="shared" ca="1" si="14"/>
        <v>8.2644996935371279E-2</v>
      </c>
      <c r="AH58" s="15" vm="1662">
        <f ca="1">'Price Data'!R56</f>
        <v>259.06</v>
      </c>
      <c r="AI58" s="25">
        <f t="shared" ca="1" si="15"/>
        <v>6.8866047356009222E-2</v>
      </c>
      <c r="AJ58" s="15" vm="1663">
        <f ca="1">'Price Data'!S56</f>
        <v>200.85</v>
      </c>
      <c r="AK58" s="25">
        <f t="shared" ca="1" si="16"/>
        <v>-5.6383627559180326E-2</v>
      </c>
      <c r="AL58" s="15" vm="1664">
        <f ca="1">'Price Data'!T56</f>
        <v>368.29</v>
      </c>
      <c r="AM58" s="25">
        <f t="shared" ca="1" si="17"/>
        <v>2.1406454214738559E-2</v>
      </c>
      <c r="AN58" s="15" vm="1665">
        <f ca="1">'Price Data'!U56</f>
        <v>264</v>
      </c>
      <c r="AO58" s="25">
        <f t="shared" ca="1" si="18"/>
        <v>7.6243117087099188E-2</v>
      </c>
      <c r="AP58" s="15" vm="1666">
        <f ca="1">'Price Data'!V56</f>
        <v>103.89</v>
      </c>
      <c r="AQ58" s="25">
        <f t="shared" ca="1" si="19"/>
        <v>1.1423163904727324E-2</v>
      </c>
      <c r="AR58" s="15" vm="1667">
        <f ca="1">'Price Data'!W56</f>
        <v>27.8</v>
      </c>
      <c r="AS58" s="25">
        <f t="shared" ca="1" si="20"/>
        <v>3.6036075032986181E-3</v>
      </c>
      <c r="AT58" s="15" vm="1668">
        <f ca="1">'Price Data'!X56</f>
        <v>68.23</v>
      </c>
      <c r="AU58" s="25">
        <f t="shared" ca="1" si="21"/>
        <v>-5.669418963575782E-2</v>
      </c>
      <c r="AV58" s="15" vm="1669">
        <f ca="1">'Price Data'!Y56</f>
        <v>23.49</v>
      </c>
      <c r="AW58" s="25">
        <f t="shared" ca="1" si="22"/>
        <v>-3.8418085734047355E-2</v>
      </c>
      <c r="AX58" s="15" vm="1670">
        <f ca="1">'Price Data'!Z56</f>
        <v>585.6</v>
      </c>
      <c r="AY58" s="25">
        <f t="shared" ca="1" si="23"/>
        <v>6.625219264148019E-2</v>
      </c>
      <c r="AZ58" s="15" vm="1671">
        <f ca="1">'Price Data'!AA56</f>
        <v>460.36</v>
      </c>
      <c r="BA58" s="25">
        <f t="shared" ca="1" si="24"/>
        <v>0.1524650158880021</v>
      </c>
      <c r="BB58" s="15" vm="1672">
        <f ca="1">'Price Data'!AB56</f>
        <v>143.94</v>
      </c>
      <c r="BC58" s="25">
        <f t="shared" ca="1" si="25"/>
        <v>-4.4167787522477416E-2</v>
      </c>
      <c r="BD58" s="15" vm="1673">
        <f ca="1">'Price Data'!AC56</f>
        <v>98.72</v>
      </c>
      <c r="BE58" s="25">
        <f t="shared" ca="1" si="26"/>
        <v>1.5002577658522099E-2</v>
      </c>
      <c r="BF58" s="15" vm="1674">
        <f ca="1">'Price Data'!AD56</f>
        <v>72.099999999999994</v>
      </c>
      <c r="BG58" s="25">
        <f t="shared" ca="1" si="27"/>
        <v>-6.2219350392935489E-3</v>
      </c>
      <c r="BH58" s="15" vm="1675">
        <f ca="1">'Price Data'!AE56</f>
        <v>313.85000000000002</v>
      </c>
      <c r="BI58" s="25">
        <f t="shared" ca="1" si="28"/>
        <v>-1.8311482449194959E-2</v>
      </c>
      <c r="BJ58" s="15" vm="1676">
        <f ca="1">'Price Data'!AF56</f>
        <v>592.15</v>
      </c>
      <c r="BK58" s="25">
        <f t="shared" ca="1" si="29"/>
        <v>5.9472705943469525E-2</v>
      </c>
    </row>
    <row r="59" spans="1:63" x14ac:dyDescent="0.25">
      <c r="A59" s="24">
        <f t="shared" ca="1" si="30"/>
        <v>45809</v>
      </c>
      <c r="B59" s="15" vm="1677">
        <f ca="1">'Price Data'!B57</f>
        <v>317.66000000000003</v>
      </c>
      <c r="C59" s="25">
        <f t="shared" ca="1" si="31"/>
        <v>-8.678574344378566E-2</v>
      </c>
      <c r="D59" s="15" vm="1678">
        <f ca="1">'Price Data'!C57</f>
        <v>313.14</v>
      </c>
      <c r="E59" s="25">
        <f t="shared" ca="1" si="0"/>
        <v>0.19769102831932048</v>
      </c>
      <c r="F59" s="15" vm="1679">
        <f ca="1">'Price Data'!D57</f>
        <v>157.99</v>
      </c>
      <c r="G59" s="25">
        <f t="shared" ca="1" si="1"/>
        <v>0.15629446183476309</v>
      </c>
      <c r="H59" s="15" vm="1680">
        <f ca="1">'Price Data'!E57</f>
        <v>79.63</v>
      </c>
      <c r="I59" s="25">
        <f t="shared" ca="1" si="2"/>
        <v>2.3259479290232516E-3</v>
      </c>
      <c r="J59" s="15" vm="1681">
        <f ca="1">'Price Data'!F57</f>
        <v>738.09</v>
      </c>
      <c r="K59" s="25">
        <f t="shared" ca="1" si="3"/>
        <v>0.13096241894555047</v>
      </c>
      <c r="L59" s="15" vm="1682">
        <f ca="1">'Price Data'!G57</f>
        <v>10.85</v>
      </c>
      <c r="M59" s="25">
        <f t="shared" ca="1" si="4"/>
        <v>4.428420224872584E-2</v>
      </c>
      <c r="N59" s="15" vm="1683">
        <f ca="1">'Price Data'!H57</f>
        <v>23.6</v>
      </c>
      <c r="O59" s="25">
        <f t="shared" ca="1" si="5"/>
        <v>-2.5519058918402754E-2</v>
      </c>
      <c r="P59" s="15" vm="1684">
        <f ca="1">'Price Data'!I57</f>
        <v>48.94</v>
      </c>
      <c r="Q59" s="25">
        <f t="shared" ca="1" si="6"/>
        <v>7.839238786859036E-2</v>
      </c>
      <c r="R59" s="15" vm="1685">
        <f ca="1">'Price Data'!J57</f>
        <v>209.53</v>
      </c>
      <c r="S59" s="25">
        <f t="shared" ca="1" si="7"/>
        <v>1.060343387951092E-2</v>
      </c>
      <c r="T59" s="15" vm="1686">
        <f ca="1">'Price Data'!K57</f>
        <v>56.15</v>
      </c>
      <c r="U59" s="25">
        <f t="shared" ca="1" si="8"/>
        <v>0.1144049543926091</v>
      </c>
      <c r="V59" s="15" vm="1687">
        <f ca="1">'Price Data'!L57</f>
        <v>388.21</v>
      </c>
      <c r="W59" s="25">
        <f t="shared" ca="1" si="9"/>
        <v>0.10925774736527201</v>
      </c>
      <c r="X59" s="15" vm="1688">
        <f ca="1">'Price Data'!M57</f>
        <v>779.53</v>
      </c>
      <c r="Y59" s="25">
        <f t="shared" ca="1" si="10"/>
        <v>5.5194603840809882E-2</v>
      </c>
      <c r="Z59" s="15" vm="1689">
        <f ca="1">'Price Data'!N57</f>
        <v>176.23</v>
      </c>
      <c r="AA59" s="25">
        <f t="shared" ca="1" si="11"/>
        <v>2.5808254831939329E-2</v>
      </c>
      <c r="AB59" s="15" vm="1690">
        <f ca="1">'Price Data'!O57</f>
        <v>152.24</v>
      </c>
      <c r="AC59" s="25">
        <f t="shared" ca="1" si="12"/>
        <v>2.5883876251063361E-2</v>
      </c>
      <c r="AD59" s="15" vm="1691">
        <f ca="1">'Price Data'!P57</f>
        <v>107.8</v>
      </c>
      <c r="AE59" s="25">
        <f t="shared" ca="1" si="13"/>
        <v>5.2367985517315939E-2</v>
      </c>
      <c r="AF59" s="15" vm="1692">
        <f ca="1">'Price Data'!Q57</f>
        <v>208.72</v>
      </c>
      <c r="AG59" s="25">
        <f t="shared" ca="1" si="14"/>
        <v>2.7935455958937754E-2</v>
      </c>
      <c r="AH59" s="15" vm="1693">
        <f ca="1">'Price Data'!R57</f>
        <v>294.77999999999997</v>
      </c>
      <c r="AI59" s="25">
        <f t="shared" ca="1" si="15"/>
        <v>0.12916962030650192</v>
      </c>
      <c r="AJ59" s="15" vm="1694">
        <f ca="1">'Price Data'!S57</f>
        <v>205.17</v>
      </c>
      <c r="AK59" s="25">
        <f t="shared" ca="1" si="16"/>
        <v>2.1280542972823113E-2</v>
      </c>
      <c r="AL59" s="15" vm="1695">
        <f ca="1">'Price Data'!T57</f>
        <v>366.64</v>
      </c>
      <c r="AM59" s="25">
        <f t="shared" ca="1" si="17"/>
        <v>-4.490231103093394E-3</v>
      </c>
      <c r="AN59" s="15" vm="1696">
        <f ca="1">'Price Data'!U57</f>
        <v>289.91000000000003</v>
      </c>
      <c r="AO59" s="25">
        <f t="shared" ca="1" si="18"/>
        <v>9.3621426839695515E-2</v>
      </c>
      <c r="AP59" s="15" vm="1697">
        <f ca="1">'Price Data'!V57</f>
        <v>107.44</v>
      </c>
      <c r="AQ59" s="25">
        <f t="shared" ca="1" si="19"/>
        <v>3.3599905132541782E-2</v>
      </c>
      <c r="AR59" s="15" vm="1428">
        <f ca="1">'Price Data'!W57</f>
        <v>28.94</v>
      </c>
      <c r="AS59" s="25">
        <f t="shared" ca="1" si="20"/>
        <v>4.0188700506746514E-2</v>
      </c>
      <c r="AT59" s="15" vm="1698">
        <f ca="1">'Price Data'!X57</f>
        <v>71.73</v>
      </c>
      <c r="AU59" s="25">
        <f t="shared" ca="1" si="21"/>
        <v>5.0024719311010817E-2</v>
      </c>
      <c r="AV59" s="15" vm="1699">
        <f ca="1">'Price Data'!Y57</f>
        <v>24.24</v>
      </c>
      <c r="AW59" s="25">
        <f t="shared" ca="1" si="22"/>
        <v>3.142936253029225E-2</v>
      </c>
      <c r="AX59" s="15" vm="1700">
        <f ca="1">'Price Data'!Z57</f>
        <v>561.94000000000005</v>
      </c>
      <c r="AY59" s="25">
        <f t="shared" ca="1" si="23"/>
        <v>-4.124188001866861E-2</v>
      </c>
      <c r="AZ59" s="15" vm="1701">
        <f ca="1">'Price Data'!AA57</f>
        <v>497.41</v>
      </c>
      <c r="BA59" s="25">
        <f t="shared" ca="1" si="24"/>
        <v>7.740584361054717E-2</v>
      </c>
      <c r="BB59" s="15" vm="1702">
        <f ca="1">'Price Data'!AB57</f>
        <v>148.18</v>
      </c>
      <c r="BC59" s="25">
        <f t="shared" ca="1" si="25"/>
        <v>2.9031204908852606E-2</v>
      </c>
      <c r="BD59" s="15" vm="1120">
        <f ca="1">'Price Data'!AC57</f>
        <v>97.78</v>
      </c>
      <c r="BE59" s="25">
        <f t="shared" ca="1" si="26"/>
        <v>-9.5675030065781562E-3</v>
      </c>
      <c r="BF59" s="15" vm="1703">
        <f ca="1">'Price Data'!AD57</f>
        <v>70.75</v>
      </c>
      <c r="BG59" s="25">
        <f t="shared" ca="1" si="27"/>
        <v>-1.8901507767556263E-2</v>
      </c>
      <c r="BH59" s="15" vm="1704">
        <f ca="1">'Price Data'!AE57</f>
        <v>292.17</v>
      </c>
      <c r="BI59" s="25">
        <f t="shared" ca="1" si="28"/>
        <v>-7.1579340122323198E-2</v>
      </c>
      <c r="BJ59" s="15" vm="1705">
        <f ca="1">'Price Data'!AF57</f>
        <v>620.9</v>
      </c>
      <c r="BK59" s="25">
        <f t="shared" ca="1" si="29"/>
        <v>4.7410057203343008E-2</v>
      </c>
    </row>
    <row r="60" spans="1:63" x14ac:dyDescent="0.25">
      <c r="A60" s="24">
        <f t="shared" ca="1" si="30"/>
        <v>45839</v>
      </c>
      <c r="B60" s="15" vm="1706">
        <f ca="1">'Price Data'!B58</f>
        <v>308.27</v>
      </c>
      <c r="C60" s="25">
        <f t="shared" ca="1" si="31"/>
        <v>-3.00056060666785E-2</v>
      </c>
      <c r="D60" s="15" vm="1707">
        <f ca="1">'Price Data'!C58</f>
        <v>317.87</v>
      </c>
      <c r="E60" s="25">
        <f t="shared" ca="1" si="0"/>
        <v>1.4992119281796321E-2</v>
      </c>
      <c r="F60" s="15" vm="1708">
        <f ca="1">'Price Data'!D58</f>
        <v>177.87</v>
      </c>
      <c r="G60" s="25">
        <f t="shared" ca="1" si="1"/>
        <v>0.11852120650262836</v>
      </c>
      <c r="H60" s="15" vm="1709">
        <f ca="1">'Price Data'!E58</f>
        <v>88.31</v>
      </c>
      <c r="I60" s="25">
        <f t="shared" ca="1" si="2"/>
        <v>0.10346244521135754</v>
      </c>
      <c r="J60" s="15" vm="1710">
        <f ca="1">'Price Data'!F58</f>
        <v>773.44</v>
      </c>
      <c r="K60" s="25">
        <f t="shared" ca="1" si="3"/>
        <v>4.6782329130579087E-2</v>
      </c>
      <c r="L60" s="15" vm="1711">
        <f ca="1">'Price Data'!G58</f>
        <v>11.07</v>
      </c>
      <c r="M60" s="25">
        <f t="shared" ca="1" si="4"/>
        <v>2.0073666734076911E-2</v>
      </c>
      <c r="N60" s="15" vm="1712">
        <f ca="1">'Price Data'!H58</f>
        <v>24.33</v>
      </c>
      <c r="O60" s="25">
        <f t="shared" ca="1" si="5"/>
        <v>3.0463444763866629E-2</v>
      </c>
      <c r="P60" s="15" vm="1713">
        <f ca="1">'Price Data'!I58</f>
        <v>42.41</v>
      </c>
      <c r="Q60" s="25">
        <f t="shared" ca="1" si="6"/>
        <v>-0.14321087452802628</v>
      </c>
      <c r="R60" s="15" vm="1714">
        <f ca="1">'Price Data'!J58</f>
        <v>221.84</v>
      </c>
      <c r="S60" s="25">
        <f t="shared" ca="1" si="7"/>
        <v>5.7089474106505868E-2</v>
      </c>
      <c r="T60" s="15" vm="436">
        <f ca="1">'Price Data'!K58</f>
        <v>42.88</v>
      </c>
      <c r="U60" s="25">
        <f t="shared" ca="1" si="8"/>
        <v>-0.26962116442190559</v>
      </c>
      <c r="V60" s="15" vm="1715">
        <f ca="1">'Price Data'!L58</f>
        <v>438.02</v>
      </c>
      <c r="W60" s="25">
        <f t="shared" ca="1" si="9"/>
        <v>0.12071814111372353</v>
      </c>
      <c r="X60" s="15" vm="1716">
        <f ca="1">'Price Data'!M58</f>
        <v>740.07</v>
      </c>
      <c r="Y60" s="25">
        <f t="shared" ca="1" si="10"/>
        <v>-5.194639764734086E-2</v>
      </c>
      <c r="Z60" s="15" vm="1717">
        <f ca="1">'Price Data'!N58</f>
        <v>191.9</v>
      </c>
      <c r="AA60" s="25">
        <f t="shared" ca="1" si="11"/>
        <v>8.5184442937376259E-2</v>
      </c>
      <c r="AB60" s="15" vm="1718">
        <f ca="1">'Price Data'!O58</f>
        <v>149.22</v>
      </c>
      <c r="AC60" s="25">
        <f t="shared" ca="1" si="12"/>
        <v>-2.0036495944525817E-2</v>
      </c>
      <c r="AD60" s="15" vm="1719">
        <f ca="1">'Price Data'!P58</f>
        <v>111.64</v>
      </c>
      <c r="AE60" s="25">
        <f t="shared" ca="1" si="13"/>
        <v>3.5001750193224684E-2</v>
      </c>
      <c r="AF60" s="15" vm="1720">
        <f ca="1">'Price Data'!Q58</f>
        <v>218.76</v>
      </c>
      <c r="AG60" s="25">
        <f t="shared" ca="1" si="14"/>
        <v>4.6981597650098877E-2</v>
      </c>
      <c r="AH60" s="15" vm="1721">
        <f ca="1">'Price Data'!R58</f>
        <v>253.15</v>
      </c>
      <c r="AI60" s="25">
        <f t="shared" ca="1" si="15"/>
        <v>-0.15224711699269353</v>
      </c>
      <c r="AJ60" s="15" vm="1722">
        <f ca="1">'Price Data'!S58</f>
        <v>207.57</v>
      </c>
      <c r="AK60" s="25">
        <f t="shared" ca="1" si="16"/>
        <v>1.1629728400714962E-2</v>
      </c>
      <c r="AL60" s="15" vm="1723">
        <f ca="1">'Price Data'!T58</f>
        <v>367.51</v>
      </c>
      <c r="AM60" s="25">
        <f t="shared" ca="1" si="17"/>
        <v>2.3700889661671075E-3</v>
      </c>
      <c r="AN60" s="15" vm="1724">
        <f ca="1">'Price Data'!U58</f>
        <v>296.24</v>
      </c>
      <c r="AO60" s="25">
        <f t="shared" ca="1" si="18"/>
        <v>2.159940661934542E-2</v>
      </c>
      <c r="AP60" s="15" vm="1725">
        <f ca="1">'Price Data'!V58</f>
        <v>103.58</v>
      </c>
      <c r="AQ60" s="25">
        <f t="shared" ca="1" si="19"/>
        <v>-3.6588291219236721E-2</v>
      </c>
      <c r="AR60" s="15" vm="1576">
        <f ca="1">'Price Data'!W58</f>
        <v>27.41</v>
      </c>
      <c r="AS60" s="25">
        <f t="shared" ca="1" si="20"/>
        <v>-5.4316810888643367E-2</v>
      </c>
      <c r="AT60" s="15" vm="1726">
        <f ca="1">'Price Data'!X58</f>
        <v>70.099999999999994</v>
      </c>
      <c r="AU60" s="25">
        <f t="shared" ca="1" si="21"/>
        <v>-2.2986276097798752E-2</v>
      </c>
      <c r="AV60" s="15" vm="1727">
        <f ca="1">'Price Data'!Y58</f>
        <v>23.29</v>
      </c>
      <c r="AW60" s="25">
        <f t="shared" ca="1" si="22"/>
        <v>-3.9980077304864033E-2</v>
      </c>
      <c r="AX60" s="15" vm="1728">
        <f ca="1">'Price Data'!Z58</f>
        <v>566.47</v>
      </c>
      <c r="AY60" s="25">
        <f t="shared" ca="1" si="23"/>
        <v>8.0290396853835832E-3</v>
      </c>
      <c r="AZ60" s="15" vm="1729">
        <f ca="1">'Price Data'!AA58</f>
        <v>533.5</v>
      </c>
      <c r="BA60" s="25">
        <f t="shared" ca="1" si="24"/>
        <v>7.0044435030970437E-2</v>
      </c>
      <c r="BB60" s="15" vm="1730">
        <f ca="1">'Price Data'!AB58</f>
        <v>144.15</v>
      </c>
      <c r="BC60" s="25">
        <f t="shared" ca="1" si="25"/>
        <v>-2.757332690409971E-2</v>
      </c>
      <c r="BD60" s="15" vm="1731">
        <f ca="1">'Price Data'!AC58</f>
        <v>97.98</v>
      </c>
      <c r="BE60" s="25">
        <f t="shared" ca="1" si="26"/>
        <v>2.0433190599293454E-3</v>
      </c>
      <c r="BF60" s="15" vm="1732">
        <f ca="1">'Price Data'!AD58</f>
        <v>67.89</v>
      </c>
      <c r="BG60" s="25">
        <f t="shared" ca="1" si="27"/>
        <v>-4.126378820979125E-2</v>
      </c>
      <c r="BH60" s="15" vm="1733">
        <f ca="1">'Price Data'!AE58</f>
        <v>300.07</v>
      </c>
      <c r="BI60" s="25">
        <f t="shared" ca="1" si="28"/>
        <v>2.6679956130328423E-2</v>
      </c>
      <c r="BJ60" s="15" vm="1734">
        <f ca="1">'Price Data'!AF58</f>
        <v>634.9</v>
      </c>
      <c r="BK60" s="25">
        <f t="shared" ca="1" si="29"/>
        <v>2.2297467805557206E-2</v>
      </c>
    </row>
    <row r="61" spans="1:63" x14ac:dyDescent="0.25">
      <c r="A61" s="24">
        <f t="shared" ca="1" si="30"/>
        <v>45870</v>
      </c>
      <c r="B61" s="15" vm="1735">
        <f ca="1">'Price Data'!B59</f>
        <v>333.87</v>
      </c>
      <c r="C61" s="25">
        <f t="shared" ca="1" si="31"/>
        <v>7.9775673313112888E-2</v>
      </c>
      <c r="D61" s="15" vm="1736">
        <f ca="1">'Price Data'!C59</f>
        <v>363.22</v>
      </c>
      <c r="E61" s="25">
        <f t="shared" ca="1" si="0"/>
        <v>0.1333662171251794</v>
      </c>
      <c r="F61" s="15" vm="1737">
        <f ca="1">'Price Data'!D59</f>
        <v>174.18</v>
      </c>
      <c r="G61" s="25">
        <f t="shared" ca="1" si="1"/>
        <v>-2.0963699122792435E-2</v>
      </c>
      <c r="H61" s="15" vm="1738">
        <f ca="1">'Price Data'!E59</f>
        <v>105</v>
      </c>
      <c r="I61" s="25">
        <f t="shared" ca="1" si="2"/>
        <v>0.17310699867681245</v>
      </c>
      <c r="J61" s="15" vm="1739">
        <f ca="1">'Price Data'!F59</f>
        <v>738.7</v>
      </c>
      <c r="K61" s="25">
        <f t="shared" ca="1" si="3"/>
        <v>-4.5956212980426167E-2</v>
      </c>
      <c r="L61" s="15" vm="1740">
        <f ca="1">'Price Data'!G59</f>
        <v>11.77</v>
      </c>
      <c r="M61" s="25">
        <f t="shared" ca="1" si="4"/>
        <v>6.1315174551639678E-2</v>
      </c>
      <c r="N61" s="15" vm="1741">
        <f ca="1">'Price Data'!H59</f>
        <v>29.12</v>
      </c>
      <c r="O61" s="25">
        <f t="shared" ca="1" si="5"/>
        <v>0.17971506653305411</v>
      </c>
      <c r="P61" s="15" vm="1742">
        <f ca="1">'Price Data'!I59</f>
        <v>48.71</v>
      </c>
      <c r="Q61" s="25">
        <f t="shared" ca="1" si="6"/>
        <v>0.13850016433195209</v>
      </c>
      <c r="R61" s="15" vm="1743">
        <f ca="1">'Price Data'!J59</f>
        <v>234.68</v>
      </c>
      <c r="S61" s="25">
        <f t="shared" ca="1" si="7"/>
        <v>5.6266482750136543E-2</v>
      </c>
      <c r="T61" s="15" vm="1744">
        <f ca="1">'Price Data'!K59</f>
        <v>42.14</v>
      </c>
      <c r="U61" s="25">
        <f t="shared" ca="1" si="8"/>
        <v>-1.7408108386503657E-2</v>
      </c>
      <c r="V61" s="15" vm="1745">
        <f ca="1">'Price Data'!L59</f>
        <v>419.04</v>
      </c>
      <c r="W61" s="25">
        <f t="shared" ca="1" si="9"/>
        <v>-4.4298190675018868E-2</v>
      </c>
      <c r="X61" s="15" vm="1746">
        <f ca="1">'Price Data'!M59</f>
        <v>732.58</v>
      </c>
      <c r="Y61" s="25">
        <f t="shared" ca="1" si="10"/>
        <v>-1.017222637426211E-2</v>
      </c>
      <c r="Z61" s="15" vm="1747">
        <f ca="1">'Price Data'!N59</f>
        <v>212.91</v>
      </c>
      <c r="AA61" s="25">
        <f t="shared" ca="1" si="11"/>
        <v>0.10389513819134695</v>
      </c>
      <c r="AB61" s="15" vm="1748">
        <f ca="1">'Price Data'!O59</f>
        <v>155.53</v>
      </c>
      <c r="AC61" s="25">
        <f t="shared" ca="1" si="12"/>
        <v>4.14169120131005E-2</v>
      </c>
      <c r="AD61" s="15" vm="1749">
        <f ca="1">'Price Data'!P59</f>
        <v>114.29</v>
      </c>
      <c r="AE61" s="25">
        <f t="shared" ca="1" si="13"/>
        <v>2.3459669241385282E-2</v>
      </c>
      <c r="AF61" s="15" vm="1631">
        <f ca="1">'Price Data'!Q59</f>
        <v>241.82</v>
      </c>
      <c r="AG61" s="25">
        <f t="shared" ca="1" si="14"/>
        <v>0.1002184092675287</v>
      </c>
      <c r="AH61" s="15" vm="1750">
        <f ca="1">'Price Data'!R59</f>
        <v>243.49</v>
      </c>
      <c r="AI61" s="25">
        <f t="shared" ca="1" si="15"/>
        <v>-3.8906324498384333E-2</v>
      </c>
      <c r="AJ61" s="15" vm="1751">
        <f ca="1">'Price Data'!S59</f>
        <v>232.14</v>
      </c>
      <c r="AK61" s="25">
        <f t="shared" ca="1" si="16"/>
        <v>0.11187200576164716</v>
      </c>
      <c r="AL61" s="15" vm="1752">
        <f ca="1">'Price Data'!T59</f>
        <v>406.77</v>
      </c>
      <c r="AM61" s="25">
        <f t="shared" ca="1" si="17"/>
        <v>0.10149738597529173</v>
      </c>
      <c r="AN61" s="15" vm="1753">
        <f ca="1">'Price Data'!U59</f>
        <v>301.42</v>
      </c>
      <c r="AO61" s="25">
        <f t="shared" ca="1" si="18"/>
        <v>1.733470438617303E-2</v>
      </c>
      <c r="AP61" s="15" vm="874">
        <f ca="1">'Price Data'!V59</f>
        <v>109.66</v>
      </c>
      <c r="AQ61" s="25">
        <f t="shared" ca="1" si="19"/>
        <v>5.7040408980156915E-2</v>
      </c>
      <c r="AR61" s="15" vm="1754">
        <f ca="1">'Price Data'!W59</f>
        <v>29.29</v>
      </c>
      <c r="AS61" s="25">
        <f t="shared" ca="1" si="20"/>
        <v>6.6338250524947573E-2</v>
      </c>
      <c r="AT61" s="15" vm="1755">
        <f ca="1">'Price Data'!X59</f>
        <v>67.84</v>
      </c>
      <c r="AU61" s="25">
        <f t="shared" ca="1" si="21"/>
        <v>-3.2770802556896662E-2</v>
      </c>
      <c r="AV61" s="15" vm="1756">
        <f ca="1">'Price Data'!Y59</f>
        <v>24.76</v>
      </c>
      <c r="AW61" s="25">
        <f t="shared" ca="1" si="22"/>
        <v>6.1205363920145903E-2</v>
      </c>
      <c r="AX61" s="15" vm="1757">
        <f ca="1">'Price Data'!Z59</f>
        <v>595.29</v>
      </c>
      <c r="AY61" s="25">
        <f t="shared" ca="1" si="23"/>
        <v>4.9624559451453602E-2</v>
      </c>
      <c r="AZ61" s="15" vm="1758">
        <f ca="1">'Price Data'!AA59</f>
        <v>506.69</v>
      </c>
      <c r="BA61" s="25">
        <f t="shared" ca="1" si="24"/>
        <v>-5.1559693998406653E-2</v>
      </c>
      <c r="BB61" s="15" vm="1759">
        <f ca="1">'Price Data'!AB59</f>
        <v>146.97</v>
      </c>
      <c r="BC61" s="25">
        <f t="shared" ca="1" si="25"/>
        <v>1.937406023418195E-2</v>
      </c>
      <c r="BD61" s="15" vm="1760">
        <f ca="1">'Price Data'!AC59</f>
        <v>96.98</v>
      </c>
      <c r="BE61" s="25">
        <f t="shared" ca="1" si="26"/>
        <v>-1.0258604533222495E-2</v>
      </c>
      <c r="BF61" s="15" vm="1761">
        <f ca="1">'Price Data'!AD59</f>
        <v>68.989999999999995</v>
      </c>
      <c r="BG61" s="25">
        <f t="shared" ca="1" si="27"/>
        <v>1.6072818244461537E-2</v>
      </c>
      <c r="BH61" s="15" vm="1762">
        <f ca="1">'Price Data'!AE59</f>
        <v>313.54000000000002</v>
      </c>
      <c r="BI61" s="25">
        <f t="shared" ca="1" si="28"/>
        <v>4.3911162868839108E-2</v>
      </c>
      <c r="BJ61" s="15" vm="1763">
        <f ca="1">'Price Data'!AF59</f>
        <v>648.32000000000005</v>
      </c>
      <c r="BK61" s="25">
        <f t="shared" ca="1" si="29"/>
        <v>2.0916895443859846E-2</v>
      </c>
    </row>
    <row r="62" spans="1:63" x14ac:dyDescent="0.25">
      <c r="A62" s="24">
        <f t="shared" ca="1" si="30"/>
        <v>45901</v>
      </c>
      <c r="B62" s="15" vm="1764">
        <f ca="1">'Price Data'!B60</f>
        <v>444.72</v>
      </c>
      <c r="C62" s="25">
        <f t="shared" ca="1" si="31"/>
        <v>0.28669317499177072</v>
      </c>
      <c r="D62" s="15" vm="1765">
        <f ca="1">'Price Data'!C60</f>
        <v>323.58</v>
      </c>
      <c r="E62" s="25">
        <f t="shared" ca="1" si="0"/>
        <v>-0.11556233271316203</v>
      </c>
      <c r="F62" s="15" vm="1766">
        <f ca="1">'Price Data'!D60</f>
        <v>186.58</v>
      </c>
      <c r="G62" s="25">
        <f t="shared" ca="1" si="1"/>
        <v>6.8770854268221424E-2</v>
      </c>
      <c r="H62" s="15" vm="1767">
        <f ca="1">'Price Data'!E60</f>
        <v>96.5</v>
      </c>
      <c r="I62" s="25">
        <f t="shared" ca="1" si="2"/>
        <v>-8.4417341812583174E-2</v>
      </c>
      <c r="J62" s="15" vm="1768">
        <f ca="1">'Price Data'!F60</f>
        <v>734.38</v>
      </c>
      <c r="K62" s="25">
        <f t="shared" ca="1" si="3"/>
        <v>-5.8652787147078604E-3</v>
      </c>
      <c r="L62" s="15" vm="1769">
        <f ca="1">'Price Data'!G60</f>
        <v>11.96</v>
      </c>
      <c r="M62" s="25">
        <f t="shared" ca="1" si="4"/>
        <v>1.6013827250300459E-2</v>
      </c>
      <c r="N62" s="15" vm="1770">
        <f ca="1">'Price Data'!H60</f>
        <v>27.9</v>
      </c>
      <c r="O62" s="25">
        <f t="shared" ca="1" si="5"/>
        <v>-4.2798534501165351E-2</v>
      </c>
      <c r="P62" s="15" vm="91">
        <f ca="1">'Price Data'!I60</f>
        <v>48.15</v>
      </c>
      <c r="Q62" s="25">
        <f t="shared" ca="1" si="6"/>
        <v>-1.1563209574316814E-2</v>
      </c>
      <c r="R62" s="15" vm="1771">
        <f ca="1">'Price Data'!J60</f>
        <v>215.83</v>
      </c>
      <c r="S62" s="25">
        <f t="shared" ca="1" si="7"/>
        <v>-8.3731823286780055E-2</v>
      </c>
      <c r="T62" s="15" vm="1772">
        <f ca="1">'Price Data'!K60</f>
        <v>39.19</v>
      </c>
      <c r="U62" s="25">
        <f t="shared" ca="1" si="8"/>
        <v>-7.2575796164502965E-2</v>
      </c>
      <c r="V62" s="15" vm="1773">
        <f ca="1">'Price Data'!L60</f>
        <v>477.15</v>
      </c>
      <c r="W62" s="25">
        <f t="shared" ca="1" si="9"/>
        <v>0.12986452610386101</v>
      </c>
      <c r="X62" s="15" vm="1774">
        <f ca="1">'Price Data'!M60</f>
        <v>763</v>
      </c>
      <c r="Y62" s="25">
        <f t="shared" ca="1" si="10"/>
        <v>4.0685481339695483E-2</v>
      </c>
      <c r="Z62" s="15" vm="1775">
        <f ca="1">'Price Data'!N60</f>
        <v>243.1</v>
      </c>
      <c r="AA62" s="25">
        <f t="shared" ca="1" si="11"/>
        <v>0.1326033401170765</v>
      </c>
      <c r="AB62" s="15" vm="1776">
        <f ca="1">'Price Data'!O60</f>
        <v>155.18</v>
      </c>
      <c r="AC62" s="25">
        <f t="shared" ca="1" si="12"/>
        <v>-2.2529055906655195E-3</v>
      </c>
      <c r="AD62" s="15" vm="1777">
        <f ca="1">'Price Data'!P60</f>
        <v>112.75</v>
      </c>
      <c r="AE62" s="25">
        <f t="shared" ca="1" si="13"/>
        <v>-1.3566099526718903E-2</v>
      </c>
      <c r="AF62" s="15" vm="1778">
        <f ca="1">'Price Data'!Q60</f>
        <v>246.22</v>
      </c>
      <c r="AG62" s="25">
        <f t="shared" ca="1" si="14"/>
        <v>1.8031797473368361E-2</v>
      </c>
      <c r="AH62" s="15" vm="1615">
        <f ca="1">'Price Data'!R60</f>
        <v>282.16000000000003</v>
      </c>
      <c r="AI62" s="25">
        <f t="shared" ca="1" si="15"/>
        <v>0.1473984120102628</v>
      </c>
      <c r="AJ62" s="15" vm="1779">
        <f ca="1">'Price Data'!S60</f>
        <v>254.63</v>
      </c>
      <c r="AK62" s="25">
        <f t="shared" ca="1" si="16"/>
        <v>9.2470873134363155E-2</v>
      </c>
      <c r="AL62" s="15" vm="1780">
        <f ca="1">'Price Data'!T60</f>
        <v>405.19</v>
      </c>
      <c r="AM62" s="25">
        <f t="shared" ca="1" si="17"/>
        <v>-3.8918222431147966E-3</v>
      </c>
      <c r="AN62" s="15" vm="1781">
        <f ca="1">'Price Data'!U60</f>
        <v>315.43</v>
      </c>
      <c r="AO62" s="25">
        <f t="shared" ca="1" si="18"/>
        <v>4.5432146325393788E-2</v>
      </c>
      <c r="AP62" s="15" vm="954">
        <f ca="1">'Price Data'!V60</f>
        <v>103.74</v>
      </c>
      <c r="AQ62" s="25">
        <f t="shared" ca="1" si="19"/>
        <v>-5.5496901052648345E-2</v>
      </c>
      <c r="AR62" s="15" vm="1782">
        <f ca="1">'Price Data'!W60</f>
        <v>28.24</v>
      </c>
      <c r="AS62" s="25">
        <f t="shared" ca="1" si="20"/>
        <v>-3.6506748214600766E-2</v>
      </c>
      <c r="AT62" s="15" vm="1783">
        <f ca="1">'Price Data'!X60</f>
        <v>67.41</v>
      </c>
      <c r="AU62" s="25">
        <f t="shared" ca="1" si="21"/>
        <v>-6.3586166183001915E-3</v>
      </c>
      <c r="AV62" s="15" vm="1784">
        <f ca="1">'Price Data'!Y60</f>
        <v>25.48</v>
      </c>
      <c r="AW62" s="25">
        <f t="shared" ca="1" si="22"/>
        <v>2.8664382887567282E-2</v>
      </c>
      <c r="AX62" s="15" vm="1785">
        <f ca="1">'Price Data'!Z60</f>
        <v>568.80999999999995</v>
      </c>
      <c r="AY62" s="25">
        <f t="shared" ca="1" si="23"/>
        <v>-4.5502222558769831E-2</v>
      </c>
      <c r="AZ62" s="15" vm="1786">
        <f ca="1">'Price Data'!AA60</f>
        <v>517.95000000000005</v>
      </c>
      <c r="BA62" s="25">
        <f t="shared" ca="1" si="24"/>
        <v>2.1979335760709599E-2</v>
      </c>
      <c r="BB62" s="15" vm="1787">
        <f ca="1">'Price Data'!AB60</f>
        <v>152</v>
      </c>
      <c r="BC62" s="25">
        <f t="shared" ca="1" si="25"/>
        <v>3.3652036527683275E-2</v>
      </c>
      <c r="BD62" s="15" vm="1788">
        <f ca="1">'Price Data'!AC60</f>
        <v>103.06</v>
      </c>
      <c r="BE62" s="25">
        <f t="shared" ca="1" si="26"/>
        <v>6.0806571222872051E-2</v>
      </c>
      <c r="BF62" s="15" vm="1789">
        <f ca="1">'Price Data'!AD60</f>
        <v>66.319999999999993</v>
      </c>
      <c r="BG62" s="25">
        <f t="shared" ca="1" si="27"/>
        <v>-3.9470055730977768E-2</v>
      </c>
      <c r="BH62" s="15" vm="1790">
        <f ca="1">'Price Data'!AE60</f>
        <v>303.89</v>
      </c>
      <c r="BI62" s="25">
        <f t="shared" ca="1" si="28"/>
        <v>-3.1261149820077383E-2</v>
      </c>
      <c r="BJ62" s="15" vm="1791">
        <f ca="1">'Price Data'!AF60</f>
        <v>669.3</v>
      </c>
      <c r="BK62" s="25">
        <f t="shared" ca="1" si="29"/>
        <v>3.1847988486332454E-2</v>
      </c>
    </row>
    <row r="63" spans="1:63" x14ac:dyDescent="0.25">
      <c r="A63" s="24">
        <f t="shared" ca="1" si="30"/>
        <v>45931</v>
      </c>
      <c r="B63" s="15" vm="1792">
        <f ca="1">'Price Data'!B61</f>
        <v>456.56</v>
      </c>
      <c r="C63" s="25">
        <f t="shared" ca="1" si="31"/>
        <v>2.6275255583238517E-2</v>
      </c>
      <c r="D63" s="15" vm="1793">
        <f ca="1">'Price Data'!C61</f>
        <v>286.83</v>
      </c>
      <c r="E63" s="25">
        <f t="shared" ca="1" si="0"/>
        <v>-0.12055667281172623</v>
      </c>
      <c r="F63" s="15" vm="1794">
        <f ca="1">'Price Data'!D61</f>
        <v>202.49</v>
      </c>
      <c r="G63" s="25">
        <f t="shared" ca="1" si="1"/>
        <v>8.1830401078362952E-2</v>
      </c>
      <c r="H63" s="15" vm="1795">
        <f ca="1">'Price Data'!E61</f>
        <v>94.04</v>
      </c>
      <c r="I63" s="25">
        <f t="shared" ca="1" si="2"/>
        <v>-2.5822784673071395E-2</v>
      </c>
      <c r="J63" s="15" vm="1796">
        <f ca="1">'Price Data'!F61</f>
        <v>648.35</v>
      </c>
      <c r="K63" s="25">
        <f t="shared" ca="1" si="3"/>
        <v>-0.12459593182509102</v>
      </c>
      <c r="L63" s="15" vm="1797">
        <f ca="1">'Price Data'!G61</f>
        <v>13.13</v>
      </c>
      <c r="M63" s="25">
        <f t="shared" ca="1" si="4"/>
        <v>9.3331939792219126E-2</v>
      </c>
      <c r="N63" s="15" vm="1798">
        <f ca="1">'Price Data'!H61</f>
        <v>26.98</v>
      </c>
      <c r="O63" s="25">
        <f t="shared" ca="1" si="5"/>
        <v>-3.3530838047710031E-2</v>
      </c>
      <c r="P63" s="15" vm="1799">
        <f ca="1">'Price Data'!I61</f>
        <v>50.81</v>
      </c>
      <c r="Q63" s="25">
        <f t="shared" ca="1" si="6"/>
        <v>5.377204736150612E-2</v>
      </c>
      <c r="R63" s="15" vm="1800">
        <f ca="1">'Price Data'!J61</f>
        <v>201.02</v>
      </c>
      <c r="S63" s="25">
        <f t="shared" ca="1" si="7"/>
        <v>-7.1086655174285293E-2</v>
      </c>
      <c r="T63" s="15" vm="1801">
        <f ca="1">'Price Data'!K61</f>
        <v>31.69</v>
      </c>
      <c r="U63" s="25">
        <f t="shared" ca="1" si="8"/>
        <v>-0.21242043850871062</v>
      </c>
      <c r="V63" s="15" vm="1802">
        <f ca="1">'Price Data'!L61</f>
        <v>577.26</v>
      </c>
      <c r="W63" s="25">
        <f t="shared" ca="1" si="9"/>
        <v>0.19046186473796545</v>
      </c>
      <c r="X63" s="15" vm="1803">
        <f ca="1">'Price Data'!M61</f>
        <v>862.86</v>
      </c>
      <c r="Y63" s="25">
        <f t="shared" ca="1" si="10"/>
        <v>0.12299442184188637</v>
      </c>
      <c r="Z63" s="15" vm="1804">
        <f ca="1">'Price Data'!N61</f>
        <v>281.19</v>
      </c>
      <c r="AA63" s="25">
        <f t="shared" ca="1" si="11"/>
        <v>0.1455577161044265</v>
      </c>
      <c r="AB63" s="15" vm="1805">
        <f ca="1">'Price Data'!O61</f>
        <v>166.5</v>
      </c>
      <c r="AC63" s="25">
        <f t="shared" ca="1" si="12"/>
        <v>7.0409575954695186E-2</v>
      </c>
      <c r="AD63" s="15" vm="1806">
        <f ca="1">'Price Data'!P61</f>
        <v>114.36</v>
      </c>
      <c r="AE63" s="25">
        <f t="shared" ca="1" si="13"/>
        <v>1.4178389071323218E-2</v>
      </c>
      <c r="AF63" s="15" vm="1807">
        <f ca="1">'Price Data'!Q61</f>
        <v>213.94</v>
      </c>
      <c r="AG63" s="25">
        <f t="shared" ca="1" si="14"/>
        <v>-0.14052984334148413</v>
      </c>
      <c r="AH63" s="15" vm="1808">
        <f ca="1">'Price Data'!R61</f>
        <v>307.41000000000003</v>
      </c>
      <c r="AI63" s="25">
        <f t="shared" ca="1" si="15"/>
        <v>8.5708075551939572E-2</v>
      </c>
      <c r="AJ63" s="15" vm="1809">
        <f ca="1">'Price Data'!S61</f>
        <v>270.37</v>
      </c>
      <c r="AK63" s="25">
        <f t="shared" ca="1" si="16"/>
        <v>5.9979880193361916E-2</v>
      </c>
      <c r="AL63" s="15" vm="1810">
        <f ca="1">'Price Data'!T61</f>
        <v>379.59</v>
      </c>
      <c r="AM63" s="25">
        <f t="shared" ca="1" si="17"/>
        <v>-6.5264370029930796E-2</v>
      </c>
      <c r="AN63" s="15" vm="1811">
        <f ca="1">'Price Data'!U61</f>
        <v>311.12</v>
      </c>
      <c r="AO63" s="25">
        <f t="shared" ca="1" si="18"/>
        <v>-1.3758097469432195E-2</v>
      </c>
      <c r="AP63" s="15" vm="1812">
        <f ca="1">'Price Data'!V61</f>
        <v>104</v>
      </c>
      <c r="AQ63" s="25">
        <f t="shared" ca="1" si="19"/>
        <v>2.5031302181184748E-3</v>
      </c>
      <c r="AR63" s="15" vm="1813">
        <f ca="1">'Price Data'!W61</f>
        <v>24.75</v>
      </c>
      <c r="AS63" s="25">
        <f t="shared" ca="1" si="20"/>
        <v>-0.13191392361034193</v>
      </c>
      <c r="AT63" s="15" vm="1814">
        <f ca="1">'Price Data'!X61</f>
        <v>63.63</v>
      </c>
      <c r="AU63" s="25">
        <f t="shared" ca="1" si="21"/>
        <v>-5.7708317620646613E-2</v>
      </c>
      <c r="AV63" s="15" vm="1815">
        <f ca="1">'Price Data'!Y61</f>
        <v>24.65</v>
      </c>
      <c r="AW63" s="25">
        <f t="shared" ca="1" si="22"/>
        <v>-3.311693021526356E-2</v>
      </c>
      <c r="AX63" s="15" vm="1816">
        <f ca="1">'Price Data'!Z61</f>
        <v>551.99</v>
      </c>
      <c r="AY63" s="25">
        <f t="shared" ca="1" si="23"/>
        <v>-3.0016529035529909E-2</v>
      </c>
      <c r="AZ63" s="15" vm="1817">
        <f ca="1">'Price Data'!AA61</f>
        <v>517.80999999999995</v>
      </c>
      <c r="BA63" s="25">
        <f t="shared" ca="1" si="24"/>
        <v>-2.7033289729804286E-4</v>
      </c>
      <c r="BB63" s="15" vm="1818">
        <f ca="1">'Price Data'!AB61</f>
        <v>138.21</v>
      </c>
      <c r="BC63" s="25">
        <f t="shared" ca="1" si="25"/>
        <v>-9.5106253230340998E-2</v>
      </c>
      <c r="BD63" s="15" vm="1819">
        <f ca="1">'Price Data'!AC61</f>
        <v>101.18</v>
      </c>
      <c r="BE63" s="25">
        <f t="shared" ca="1" si="26"/>
        <v>-1.8410234036288092E-2</v>
      </c>
      <c r="BF63" s="15" vm="1820">
        <f ca="1">'Price Data'!AD61</f>
        <v>68.900000000000006</v>
      </c>
      <c r="BG63" s="25">
        <f t="shared" ca="1" si="27"/>
        <v>3.816466719257345E-2</v>
      </c>
      <c r="BH63" s="15" vm="1821">
        <f ca="1">'Price Data'!AE61</f>
        <v>298.43</v>
      </c>
      <c r="BI63" s="25">
        <f t="shared" ca="1" si="28"/>
        <v>-1.8130394351096733E-2</v>
      </c>
      <c r="BJ63" s="15" vm="1822">
        <f ca="1">'Price Data'!AF61</f>
        <v>685.23</v>
      </c>
      <c r="BK63" s="25">
        <f t="shared" ca="1" si="29"/>
        <v>2.3522158222055816E-2</v>
      </c>
    </row>
    <row r="64" spans="1:63" x14ac:dyDescent="0.25">
      <c r="A64" s="24">
        <f t="shared" ca="1" si="30"/>
        <v>45962</v>
      </c>
      <c r="B64" s="15" vm="1256">
        <f ca="1">'Price Data'!B62</f>
        <v>430.17</v>
      </c>
      <c r="C64" s="25">
        <f t="shared" ca="1" si="31"/>
        <v>-5.9539646833395125E-2</v>
      </c>
      <c r="D64" s="15" vm="1823">
        <f ca="1">'Price Data'!C62</f>
        <v>266.25</v>
      </c>
      <c r="E64" s="25">
        <f t="shared" ca="1" si="0"/>
        <v>-7.4453988741829485E-2</v>
      </c>
      <c r="F64" s="15" vm="1504">
        <f ca="1">'Price Data'!D62</f>
        <v>177</v>
      </c>
      <c r="G64" s="25">
        <f t="shared" ca="1" si="1"/>
        <v>-0.13454077003734891</v>
      </c>
      <c r="H64" s="15" vm="1824">
        <f ca="1">'Price Data'!E62</f>
        <v>101.96</v>
      </c>
      <c r="I64" s="25">
        <f t="shared" ca="1" si="2"/>
        <v>8.0860355836045783E-2</v>
      </c>
      <c r="J64" s="15" vm="1825">
        <f ca="1">'Price Data'!F62</f>
        <v>647.95000000000005</v>
      </c>
      <c r="K64" s="25">
        <f t="shared" ca="1" si="3"/>
        <v>-6.1714111346978574E-4</v>
      </c>
      <c r="L64" s="15" vm="1826">
        <f ca="1">'Price Data'!G62</f>
        <v>13.28</v>
      </c>
      <c r="M64" s="25">
        <f t="shared" ca="1" si="4"/>
        <v>1.1359455733582916E-2</v>
      </c>
      <c r="N64" s="15" vm="1827">
        <f ca="1">'Price Data'!H62</f>
        <v>24.49</v>
      </c>
      <c r="O64" s="25">
        <f t="shared" ca="1" si="5"/>
        <v>-9.6830979815533513E-2</v>
      </c>
      <c r="P64" s="15" vm="1828">
        <f ca="1">'Price Data'!I62</f>
        <v>42.07</v>
      </c>
      <c r="Q64" s="25">
        <f t="shared" ca="1" si="6"/>
        <v>-0.18875828800321101</v>
      </c>
      <c r="R64" s="15" vm="1829">
        <f ca="1">'Price Data'!J62</f>
        <v>189</v>
      </c>
      <c r="S64" s="25">
        <f t="shared" ca="1" si="7"/>
        <v>-6.1657390536951448E-2</v>
      </c>
      <c r="T64" s="15" vm="1830">
        <f ca="1">'Price Data'!K62</f>
        <v>34.520000000000003</v>
      </c>
      <c r="U64" s="25">
        <f t="shared" ca="1" si="8"/>
        <v>8.5537692512397887E-2</v>
      </c>
      <c r="V64" s="15" vm="1831">
        <f ca="1">'Price Data'!L62</f>
        <v>575.76</v>
      </c>
      <c r="W64" s="25">
        <f t="shared" ca="1" si="9"/>
        <v>-2.6018644016794442E-3</v>
      </c>
      <c r="X64" s="15" vm="1832">
        <f ca="1">'Price Data'!M62</f>
        <v>1075.47</v>
      </c>
      <c r="Y64" s="25">
        <f t="shared" ca="1" si="10"/>
        <v>0.22026060118960719</v>
      </c>
      <c r="Z64" s="15" vm="1833">
        <f ca="1">'Price Data'!N62</f>
        <v>320.18</v>
      </c>
      <c r="AA64" s="25">
        <f t="shared" ca="1" si="11"/>
        <v>0.12985274022344426</v>
      </c>
      <c r="AB64" s="15" vm="1834">
        <f ca="1">'Price Data'!O62</f>
        <v>172.05</v>
      </c>
      <c r="AC64" s="25">
        <f t="shared" ca="1" si="12"/>
        <v>3.278982282299097E-2</v>
      </c>
      <c r="AD64" s="15" vm="1835">
        <f ca="1">'Price Data'!P62</f>
        <v>115.92</v>
      </c>
      <c r="AE64" s="25">
        <f t="shared" ca="1" si="13"/>
        <v>1.3548930558315872E-2</v>
      </c>
      <c r="AF64" s="15" vm="1836">
        <f ca="1">'Price Data'!Q62</f>
        <v>195.32</v>
      </c>
      <c r="AG64" s="25">
        <f t="shared" ca="1" si="14"/>
        <v>-9.1056362684525313E-2</v>
      </c>
      <c r="AH64" s="15" vm="1837">
        <f ca="1">'Price Data'!R62</f>
        <v>308.58</v>
      </c>
      <c r="AI64" s="25">
        <f t="shared" ca="1" si="15"/>
        <v>3.7987675351433821E-3</v>
      </c>
      <c r="AJ64" s="15" vm="1838">
        <f ca="1">'Price Data'!S62</f>
        <v>278.85000000000002</v>
      </c>
      <c r="AK64" s="25">
        <f t="shared" ca="1" si="16"/>
        <v>3.0882611567361325E-2</v>
      </c>
      <c r="AL64" s="15" vm="1839">
        <f ca="1">'Price Data'!T62</f>
        <v>356.92</v>
      </c>
      <c r="AM64" s="25">
        <f t="shared" ca="1" si="17"/>
        <v>-6.1580055837331248E-2</v>
      </c>
      <c r="AN64" s="15" vm="1840">
        <f ca="1">'Price Data'!U62</f>
        <v>313.08</v>
      </c>
      <c r="AO64" s="25">
        <f t="shared" ca="1" si="18"/>
        <v>6.2800590891455479E-3</v>
      </c>
      <c r="AP64" s="15" vm="1841">
        <f ca="1">'Price Data'!V62</f>
        <v>108.25</v>
      </c>
      <c r="AQ64" s="25">
        <f t="shared" ca="1" si="19"/>
        <v>4.0052467741226533E-2</v>
      </c>
      <c r="AR64" s="15" vm="1842">
        <f ca="1">'Price Data'!W62</f>
        <v>26.02</v>
      </c>
      <c r="AS64" s="25">
        <f t="shared" ca="1" si="20"/>
        <v>5.0039984069659801E-2</v>
      </c>
      <c r="AT64" s="15" vm="1843">
        <f ca="1">'Price Data'!X62</f>
        <v>67.28</v>
      </c>
      <c r="AU64" s="25">
        <f t="shared" ca="1" si="21"/>
        <v>5.5777958419991815E-2</v>
      </c>
      <c r="AV64" s="15" vm="1844">
        <f ca="1">'Price Data'!Y62</f>
        <v>25.74</v>
      </c>
      <c r="AW64" s="25">
        <f t="shared" ca="1" si="22"/>
        <v>4.3269301679281447E-2</v>
      </c>
      <c r="AX64" s="15" vm="1845">
        <f ca="1">'Price Data'!Z62</f>
        <v>550.53</v>
      </c>
      <c r="AY64" s="25">
        <f t="shared" ca="1" si="23"/>
        <v>-2.6484795802778362E-3</v>
      </c>
      <c r="AZ64" s="15" vm="1846">
        <f ca="1">'Price Data'!AA62</f>
        <v>492.01</v>
      </c>
      <c r="BA64" s="25">
        <f t="shared" ca="1" si="24"/>
        <v>-5.1109338117807095E-2</v>
      </c>
      <c r="BB64" s="15" vm="1847">
        <f ca="1">'Price Data'!AB62</f>
        <v>153.21</v>
      </c>
      <c r="BC64" s="25">
        <f t="shared" ca="1" si="25"/>
        <v>0.1030352617117269</v>
      </c>
      <c r="BD64" s="15" vm="1848">
        <f ca="1">'Price Data'!AC62</f>
        <v>110.51</v>
      </c>
      <c r="BE64" s="25">
        <f t="shared" ca="1" si="26"/>
        <v>8.8204905736900791E-2</v>
      </c>
      <c r="BF64" s="15" vm="1849">
        <f ca="1">'Price Data'!AD62</f>
        <v>73.12</v>
      </c>
      <c r="BG64" s="25">
        <f t="shared" ca="1" si="27"/>
        <v>5.9445749126281734E-2</v>
      </c>
      <c r="BH64" s="15" vm="1850">
        <f ca="1">'Price Data'!AE62</f>
        <v>311.82</v>
      </c>
      <c r="BI64" s="25">
        <f t="shared" ca="1" si="28"/>
        <v>4.3890698779194479E-2</v>
      </c>
      <c r="BJ64" s="15" vm="1851">
        <f ca="1">'Price Data'!AF62</f>
        <v>686.88</v>
      </c>
      <c r="BK64" s="25">
        <f t="shared" ca="1" si="29"/>
        <v>2.4050561475982895E-3</v>
      </c>
    </row>
    <row r="65" spans="1:63" x14ac:dyDescent="0.25">
      <c r="A65" s="26"/>
    </row>
    <row r="66" spans="1:63" x14ac:dyDescent="0.25">
      <c r="A66" s="15" t="s">
        <v>45</v>
      </c>
      <c r="C66" s="27">
        <f ca="1">_xlfn.STDEV.S(_1)</f>
        <v>0.17077040558825721</v>
      </c>
      <c r="E66" s="27">
        <f ca="1">_xlfn.STDEV.S(_2)</f>
        <v>0.1506545823853192</v>
      </c>
      <c r="G66" s="27">
        <f ca="1">_xlfn.STDEV.S(_3)</f>
        <v>0.14315802302812619</v>
      </c>
      <c r="I66" s="27">
        <f ca="1">_xlfn.STDEV.S(_4)</f>
        <v>0.1292143486068118</v>
      </c>
      <c r="K66" s="27">
        <f ca="1">_xlfn.STDEV.S(_5)</f>
        <v>0.12214917344035947</v>
      </c>
      <c r="M66" s="27">
        <f ca="1">_xlfn.STDEV.S(_6)</f>
        <v>0.11683812283605026</v>
      </c>
      <c r="O66" s="27">
        <f ca="1">_xlfn.STDEV.S(_7)</f>
        <v>0.11502015591775967</v>
      </c>
      <c r="Q66" s="27">
        <f ca="1">_xlfn.STDEV.S(_8)</f>
        <v>0.10922667400500832</v>
      </c>
      <c r="S66" s="27">
        <f ca="1">_xlfn.STDEV.S(_9)</f>
        <v>0.10326285050054611</v>
      </c>
      <c r="U66" s="27">
        <f ca="1">_xlfn.STDEV.S(_10)</f>
        <v>9.5129449505817976E-2</v>
      </c>
      <c r="W66" s="27">
        <f ca="1">_xlfn.STDEV.S(_11)</f>
        <v>9.5097323487641841E-2</v>
      </c>
      <c r="Y66" s="27">
        <f ca="1">_xlfn.STDEV.S(_12)</f>
        <v>9.2191723209240448E-2</v>
      </c>
      <c r="AA66" s="27">
        <f ca="1">_xlfn.STDEV.S(_13)</f>
        <v>8.0672372413901447E-2</v>
      </c>
      <c r="AC66" s="27">
        <f ca="1">_xlfn.STDEV.S(_14)</f>
        <v>7.8448139717499019E-2</v>
      </c>
      <c r="AE66" s="27">
        <f ca="1">_xlfn.STDEV.S(_15)</f>
        <v>7.4722277843304694E-2</v>
      </c>
      <c r="AG66" s="27">
        <f ca="1">_xlfn.STDEV.S(_16)</f>
        <v>7.4049933212371147E-2</v>
      </c>
      <c r="AI66" s="27">
        <f ca="1">_xlfn.STDEV.S(_17)</f>
        <v>7.0748332719404478E-2</v>
      </c>
      <c r="AK66" s="27">
        <f ca="1">_xlfn.STDEV.S(_18)</f>
        <v>7.0730697105764517E-2</v>
      </c>
      <c r="AM66" s="27">
        <f ca="1">_xlfn.STDEV.S(_19)</f>
        <v>6.8746960145942462E-2</v>
      </c>
      <c r="AO66" s="27">
        <f ca="1">_xlfn.STDEV.S(_20)</f>
        <v>6.8152751434408285E-2</v>
      </c>
      <c r="AQ66" s="27">
        <f ca="1">_xlfn.STDEV.S(_21)</f>
        <v>6.7650466844591528E-2</v>
      </c>
      <c r="AS66" s="27">
        <f ca="1">_xlfn.STDEV.S(_22)</f>
        <v>6.6980249597340932E-2</v>
      </c>
      <c r="AU66" s="27">
        <f ca="1">_xlfn.STDEV.S(_23)</f>
        <v>6.6881927031804358E-2</v>
      </c>
      <c r="AW66" s="27">
        <f ca="1">_xlfn.STDEV.S(_24)</f>
        <v>6.6295487941508413E-2</v>
      </c>
      <c r="AY66" s="27">
        <f ca="1">_xlfn.STDEV.S(_25)</f>
        <v>6.3096911879154741E-2</v>
      </c>
      <c r="BA66" s="27">
        <f ca="1">_xlfn.STDEV.S(_26)</f>
        <v>6.292530231379799E-2</v>
      </c>
      <c r="BC66" s="27">
        <f ca="1">_xlfn.STDEV.S(_27)</f>
        <v>6.0428038733504719E-2</v>
      </c>
      <c r="BE66" s="27">
        <f ca="1">_xlfn.STDEV.S(_28)</f>
        <v>5.7318654500360104E-2</v>
      </c>
      <c r="BG66" s="27">
        <f ca="1">_xlfn.STDEV.S(_29)</f>
        <v>4.9227895421741157E-2</v>
      </c>
      <c r="BI66" s="27">
        <f ca="1">_xlfn.STDEV.S(_30)</f>
        <v>4.6852084961873763E-2</v>
      </c>
      <c r="BK66" s="27">
        <f ca="1">_xlfn.STDEV.S(BK5:BK64)</f>
        <v>4.4221881539358673E-2</v>
      </c>
    </row>
  </sheetData>
  <mergeCells count="62">
    <mergeCell ref="BJ2:BK2"/>
    <mergeCell ref="BM2:BN2"/>
    <mergeCell ref="AX2:AY2"/>
    <mergeCell ref="AZ2:BA2"/>
    <mergeCell ref="BB2:BC2"/>
    <mergeCell ref="BD2:BE2"/>
    <mergeCell ref="BF2:BG2"/>
    <mergeCell ref="BH2:BI2"/>
    <mergeCell ref="AV2:AW2"/>
    <mergeCell ref="Z2:AA2"/>
    <mergeCell ref="AB2:AC2"/>
    <mergeCell ref="AD2:AE2"/>
    <mergeCell ref="AF2:AG2"/>
    <mergeCell ref="AH2:AI2"/>
    <mergeCell ref="AJ2:AK2"/>
    <mergeCell ref="AL2:AM2"/>
    <mergeCell ref="AN2:AO2"/>
    <mergeCell ref="AP2:AQ2"/>
    <mergeCell ref="AR2:AS2"/>
    <mergeCell ref="AT2:AU2"/>
    <mergeCell ref="X2:Y2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H1:BI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AJ1:AK1"/>
    <mergeCell ref="N1:O1"/>
    <mergeCell ref="P1:Q1"/>
    <mergeCell ref="R1:S1"/>
    <mergeCell ref="T1:U1"/>
    <mergeCell ref="V1:W1"/>
    <mergeCell ref="X1:Y1"/>
    <mergeCell ref="Z1:AA1"/>
    <mergeCell ref="AB1:AC1"/>
    <mergeCell ref="AD1:AE1"/>
    <mergeCell ref="AF1:AG1"/>
    <mergeCell ref="AH1:AI1"/>
    <mergeCell ref="L1:M1"/>
    <mergeCell ref="B1:C1"/>
    <mergeCell ref="D1:E1"/>
    <mergeCell ref="F1:G1"/>
    <mergeCell ref="H1:I1"/>
    <mergeCell ref="J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62FD9-1586-4AD1-BE2B-E7146E38D83B}">
  <dimension ref="A1:AF69"/>
  <sheetViews>
    <sheetView topLeftCell="A39" workbookViewId="0">
      <selection activeCell="D6" sqref="D6"/>
    </sheetView>
  </sheetViews>
  <sheetFormatPr defaultColWidth="5.5" defaultRowHeight="15.75" x14ac:dyDescent="0.25"/>
  <cols>
    <col min="1" max="16384" width="5.5" style="1"/>
  </cols>
  <sheetData>
    <row r="1" spans="1:32" x14ac:dyDescent="0.25">
      <c r="A1" s="22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</row>
    <row r="2" spans="1:32" x14ac:dyDescent="0.25">
      <c r="A2" s="28" t="s">
        <v>46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</row>
    <row r="3" spans="1:32" x14ac:dyDescent="0.25">
      <c r="A3" s="22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</row>
    <row r="4" spans="1:32" x14ac:dyDescent="0.25">
      <c r="A4" s="22"/>
      <c r="B4" s="22"/>
      <c r="C4" s="22" t="s">
        <v>12</v>
      </c>
      <c r="D4" s="22" t="s">
        <v>13</v>
      </c>
      <c r="E4" s="22" t="s">
        <v>14</v>
      </c>
      <c r="F4" s="22" t="s">
        <v>15</v>
      </c>
      <c r="G4" s="22" t="s">
        <v>16</v>
      </c>
      <c r="H4" s="22" t="s">
        <v>17</v>
      </c>
      <c r="I4" s="22" t="s">
        <v>18</v>
      </c>
      <c r="J4" s="22" t="s">
        <v>19</v>
      </c>
      <c r="K4" s="22" t="s">
        <v>20</v>
      </c>
      <c r="L4" s="22" t="s">
        <v>21</v>
      </c>
      <c r="M4" s="22" t="s">
        <v>22</v>
      </c>
      <c r="N4" s="22" t="s">
        <v>23</v>
      </c>
      <c r="O4" s="22" t="s">
        <v>24</v>
      </c>
      <c r="P4" s="22" t="s">
        <v>25</v>
      </c>
      <c r="Q4" s="22" t="s">
        <v>26</v>
      </c>
      <c r="R4" s="22" t="s">
        <v>27</v>
      </c>
      <c r="S4" s="22" t="s">
        <v>28</v>
      </c>
      <c r="T4" s="22" t="s">
        <v>29</v>
      </c>
      <c r="U4" s="22" t="s">
        <v>30</v>
      </c>
      <c r="V4" s="22" t="s">
        <v>31</v>
      </c>
      <c r="W4" s="22" t="s">
        <v>32</v>
      </c>
      <c r="X4" s="22" t="s">
        <v>33</v>
      </c>
      <c r="Y4" s="22" t="s">
        <v>34</v>
      </c>
      <c r="Z4" s="22" t="s">
        <v>35</v>
      </c>
      <c r="AA4" s="22" t="s">
        <v>36</v>
      </c>
      <c r="AB4" s="22" t="s">
        <v>37</v>
      </c>
      <c r="AC4" s="22" t="s">
        <v>38</v>
      </c>
      <c r="AD4" s="22" t="s">
        <v>39</v>
      </c>
      <c r="AE4" s="22" t="s">
        <v>40</v>
      </c>
      <c r="AF4" s="22" t="s">
        <v>41</v>
      </c>
    </row>
    <row r="5" spans="1:32" x14ac:dyDescent="0.25">
      <c r="A5" s="22"/>
      <c r="B5" s="22"/>
      <c r="C5" s="29" t="str">
        <f>'Returns &amp; Stand Dev'!B2</f>
        <v>tsla</v>
      </c>
      <c r="D5" s="29" t="str">
        <f>'Returns &amp; Stand Dev'!D2</f>
        <v>rcl</v>
      </c>
      <c r="E5" s="29" t="str">
        <f>'Returns &amp; Stand Dev'!F2</f>
        <v>nvda</v>
      </c>
      <c r="F5" s="29" t="str">
        <f>'Returns &amp; Stand Dev'!H2</f>
        <v>ual</v>
      </c>
      <c r="G5" s="29" t="str">
        <f>'Returns &amp; Stand Dev'!J2</f>
        <v>meta</v>
      </c>
      <c r="H5" s="29" t="str">
        <f>'Returns &amp; Stand Dev'!L2</f>
        <v>f</v>
      </c>
      <c r="I5" s="29" t="str">
        <f>'Returns &amp; Stand Dev'!N2</f>
        <v>hog</v>
      </c>
      <c r="J5" s="29" t="str">
        <f>'Returns &amp; Stand Dev'!P2</f>
        <v>pzza</v>
      </c>
      <c r="K5" s="29" t="str">
        <f>'Returns &amp; Stand Dev'!R2</f>
        <v>ba</v>
      </c>
      <c r="L5" s="29" t="str">
        <f>'Returns &amp; Stand Dev'!T2</f>
        <v>cmg</v>
      </c>
      <c r="M5" s="29" t="str">
        <f>'Returns &amp; Stand Dev'!V2</f>
        <v>cat</v>
      </c>
      <c r="N5" s="29" t="str">
        <f>'Returns &amp; Stand Dev'!X2</f>
        <v>lly</v>
      </c>
      <c r="O5" s="29" t="str">
        <f>'Returns &amp; Stand Dev'!Z2</f>
        <v>googl</v>
      </c>
      <c r="P5" s="29" t="str">
        <f>'Returns &amp; Stand Dev'!AB2</f>
        <v>mmm</v>
      </c>
      <c r="Q5" s="29" t="str">
        <f>'Returns &amp; Stand Dev'!AD2</f>
        <v>xom</v>
      </c>
      <c r="R5" s="29" t="str">
        <f>'Returns &amp; Stand Dev'!AF2</f>
        <v>grmn</v>
      </c>
      <c r="S5" s="29" t="str">
        <f>'Returns &amp; Stand Dev'!AH2</f>
        <v>ibm</v>
      </c>
      <c r="T5" s="29" t="str">
        <f>'Returns &amp; Stand Dev'!AJ2</f>
        <v>aapl</v>
      </c>
      <c r="U5" s="29" t="str">
        <f>'Returns &amp; Stand Dev'!AL2</f>
        <v>hd</v>
      </c>
      <c r="V5" s="29" t="str">
        <f>'Returns &amp; Stand Dev'!AN2</f>
        <v>jpm</v>
      </c>
      <c r="W5" s="29" t="str">
        <f>'Returns &amp; Stand Dev'!AP2</f>
        <v>pru</v>
      </c>
      <c r="X5" s="29" t="str">
        <f>'Returns &amp; Stand Dev'!AR2</f>
        <v>t</v>
      </c>
      <c r="Y5" s="29" t="str">
        <f>'Returns &amp; Stand Dev'!AT2</f>
        <v>kr</v>
      </c>
      <c r="Z5" s="29" t="str">
        <f>'Returns &amp; Stand Dev'!AV2</f>
        <v>pfe</v>
      </c>
      <c r="AA5" s="29" t="str">
        <f>'Returns &amp; Stand Dev'!AX2</f>
        <v>ma</v>
      </c>
      <c r="AB5" s="29" t="str">
        <f>'Returns &amp; Stand Dev'!AZ2</f>
        <v>msft</v>
      </c>
      <c r="AC5" s="29" t="str">
        <f>'Returns &amp; Stand Dev'!BB2</f>
        <v>yum</v>
      </c>
      <c r="AD5" s="29" t="str">
        <f>'Returns &amp; Stand Dev'!BD2</f>
        <v>wmt</v>
      </c>
      <c r="AE5" s="29" t="str">
        <f>'Returns &amp; Stand Dev'!BF2</f>
        <v>ko</v>
      </c>
      <c r="AF5" s="29" t="str">
        <f>'Returns &amp; Stand Dev'!BH2</f>
        <v>mcd</v>
      </c>
    </row>
    <row r="6" spans="1:32" x14ac:dyDescent="0.25">
      <c r="A6" s="22" t="s">
        <v>12</v>
      </c>
      <c r="B6" s="30" t="str">
        <f>C5</f>
        <v>tsla</v>
      </c>
      <c r="C6" s="15">
        <f ca="1">CORREL(_1,_1)</f>
        <v>1</v>
      </c>
      <c r="D6" s="15" cm="1">
        <f t="array" aca="1" ref="D6:AF6" ca="1">TRANSPOSE(C7:C35)</f>
        <v>0.26450538344293434</v>
      </c>
      <c r="E6" s="15">
        <f ca="1"/>
        <v>0.3970006368638353</v>
      </c>
      <c r="F6" s="15">
        <f ca="1"/>
        <v>0.28197187082643849</v>
      </c>
      <c r="G6" s="15">
        <f ca="1"/>
        <v>0.20196333691468721</v>
      </c>
      <c r="H6" s="15">
        <f ca="1"/>
        <v>0.34188172343004597</v>
      </c>
      <c r="I6" s="15">
        <f ca="1"/>
        <v>0.23794903808148299</v>
      </c>
      <c r="J6" s="15">
        <f ca="1"/>
        <v>0.20574545028581001</v>
      </c>
      <c r="K6" s="15">
        <f ca="1"/>
        <v>0.14217494738824871</v>
      </c>
      <c r="L6" s="15">
        <f ca="1"/>
        <v>0.22412539772495271</v>
      </c>
      <c r="M6" s="15">
        <f ca="1"/>
        <v>0.2309533808172253</v>
      </c>
      <c r="N6" s="15">
        <f ca="1"/>
        <v>-0.10635317876527235</v>
      </c>
      <c r="O6" s="15">
        <f ca="1"/>
        <v>0.43942498362591537</v>
      </c>
      <c r="P6" s="15">
        <f ca="1"/>
        <v>0.18562463293842657</v>
      </c>
      <c r="Q6" s="15">
        <f ca="1"/>
        <v>-0.12947652275837182</v>
      </c>
      <c r="R6" s="15">
        <f ca="1"/>
        <v>0.14785902213461583</v>
      </c>
      <c r="S6" s="15">
        <f ca="1"/>
        <v>3.5955016198849638E-3</v>
      </c>
      <c r="T6" s="15">
        <f ca="1"/>
        <v>0.55255284270666993</v>
      </c>
      <c r="U6" s="15">
        <f ca="1"/>
        <v>0.28737197960803706</v>
      </c>
      <c r="V6" s="15">
        <f ca="1"/>
        <v>0.14056915713647422</v>
      </c>
      <c r="W6" s="15">
        <f ca="1"/>
        <v>0.12020709790308702</v>
      </c>
      <c r="X6" s="15">
        <f ca="1"/>
        <v>-0.18679839787250066</v>
      </c>
      <c r="Y6" s="15">
        <f ca="1"/>
        <v>0.11986564629240762</v>
      </c>
      <c r="Z6" s="15">
        <f ca="1"/>
        <v>-3.2725397194663448E-2</v>
      </c>
      <c r="AA6" s="15">
        <f ca="1"/>
        <v>5.9866997522799177E-2</v>
      </c>
      <c r="AB6" s="15">
        <f ca="1"/>
        <v>0.39853322868355923</v>
      </c>
      <c r="AC6" s="15">
        <f ca="1"/>
        <v>-6.0248796672720782E-2</v>
      </c>
      <c r="AD6" s="15">
        <f ca="1"/>
        <v>0.25286867775963706</v>
      </c>
      <c r="AE6" s="15">
        <f ca="1"/>
        <v>-0.22291300992653404</v>
      </c>
      <c r="AF6" s="15">
        <f ca="1"/>
        <v>4.3852415215333965E-2</v>
      </c>
    </row>
    <row r="7" spans="1:32" x14ac:dyDescent="0.25">
      <c r="A7" s="22" t="s">
        <v>13</v>
      </c>
      <c r="B7" s="30" t="str">
        <f>D5</f>
        <v>rcl</v>
      </c>
      <c r="C7" s="15">
        <f ca="1">CORREL(_2,_1)</f>
        <v>0.26450538344293434</v>
      </c>
      <c r="D7" s="15">
        <f ca="1">CORREL(_2,_2)</f>
        <v>0.99999999999999989</v>
      </c>
      <c r="E7" s="15" cm="1">
        <f t="array" aca="1" ref="E7:AF7" ca="1">TRANSPOSE(D8:D35)</f>
        <v>0.39290836223355247</v>
      </c>
      <c r="F7" s="15">
        <f ca="1"/>
        <v>0.77239469420253226</v>
      </c>
      <c r="G7" s="15">
        <f ca="1"/>
        <v>0.23308934900174857</v>
      </c>
      <c r="H7" s="15">
        <f ca="1"/>
        <v>0.4394519489602714</v>
      </c>
      <c r="I7" s="15">
        <f ca="1"/>
        <v>0.35115828520223674</v>
      </c>
      <c r="J7" s="15">
        <f ca="1"/>
        <v>0.18799713042783645</v>
      </c>
      <c r="K7" s="15">
        <f ca="1"/>
        <v>0.39939763611360685</v>
      </c>
      <c r="L7" s="15">
        <f ca="1"/>
        <v>0.26587182748148258</v>
      </c>
      <c r="M7" s="15">
        <f ca="1"/>
        <v>0.50352850481905953</v>
      </c>
      <c r="N7" s="15">
        <f ca="1"/>
        <v>-0.15521457239976236</v>
      </c>
      <c r="O7" s="15">
        <f ca="1"/>
        <v>0.27222594883222573</v>
      </c>
      <c r="P7" s="15">
        <f ca="1"/>
        <v>0.3147040221099931</v>
      </c>
      <c r="Q7" s="15">
        <f ca="1"/>
        <v>0.2344762746411522</v>
      </c>
      <c r="R7" s="15">
        <f ca="1"/>
        <v>0.46792825604898308</v>
      </c>
      <c r="S7" s="15">
        <f ca="1"/>
        <v>0.20376726457131278</v>
      </c>
      <c r="T7" s="15">
        <f ca="1"/>
        <v>0.25102919808495366</v>
      </c>
      <c r="U7" s="15">
        <f ca="1"/>
        <v>0.28666986915483228</v>
      </c>
      <c r="V7" s="15">
        <f ca="1"/>
        <v>0.63586391238308582</v>
      </c>
      <c r="W7" s="15">
        <f ca="1"/>
        <v>0.56968939864922463</v>
      </c>
      <c r="X7" s="15">
        <f ca="1"/>
        <v>0.17534602293307183</v>
      </c>
      <c r="Y7" s="15">
        <f ca="1"/>
        <v>0.11692795828109884</v>
      </c>
      <c r="Z7" s="15">
        <f ca="1"/>
        <v>-0.1946351940044907</v>
      </c>
      <c r="AA7" s="15">
        <f ca="1"/>
        <v>0.53185801700715529</v>
      </c>
      <c r="AB7" s="15">
        <f ca="1"/>
        <v>0.25206179078942298</v>
      </c>
      <c r="AC7" s="15">
        <f ca="1"/>
        <v>0.1552659317915103</v>
      </c>
      <c r="AD7" s="15">
        <f ca="1"/>
        <v>0.35144372742657137</v>
      </c>
      <c r="AE7" s="15">
        <f ca="1"/>
        <v>7.1421390524452746E-2</v>
      </c>
      <c r="AF7" s="15">
        <f ca="1"/>
        <v>0.21294808992780082</v>
      </c>
    </row>
    <row r="8" spans="1:32" x14ac:dyDescent="0.25">
      <c r="A8" s="22" t="s">
        <v>14</v>
      </c>
      <c r="B8" s="30" t="str">
        <f>E5</f>
        <v>nvda</v>
      </c>
      <c r="C8" s="15">
        <f ca="1">CORREL(_3,_1)</f>
        <v>0.3970006368638353</v>
      </c>
      <c r="D8" s="15">
        <f ca="1">CORREL(_3,_2)</f>
        <v>0.39290836223355247</v>
      </c>
      <c r="E8" s="15">
        <f ca="1">CORREL(_3,_3)</f>
        <v>1.0000000000000002</v>
      </c>
      <c r="F8" s="15" cm="1">
        <f t="array" aca="1" ref="F8:AF8" ca="1">TRANSPOSE(E9:E35)</f>
        <v>0.28835086300113671</v>
      </c>
      <c r="G8" s="15">
        <f ca="1"/>
        <v>0.46925205299284872</v>
      </c>
      <c r="H8" s="15">
        <f ca="1"/>
        <v>0.44999902343593051</v>
      </c>
      <c r="I8" s="15">
        <f ca="1"/>
        <v>0.2634793521139065</v>
      </c>
      <c r="J8" s="15">
        <f ca="1"/>
        <v>0.30684048499503908</v>
      </c>
      <c r="K8" s="15">
        <f ca="1"/>
        <v>0.31719271523916109</v>
      </c>
      <c r="L8" s="15">
        <f ca="1"/>
        <v>0.29027248842211856</v>
      </c>
      <c r="M8" s="15">
        <f ca="1"/>
        <v>0.38826263535803635</v>
      </c>
      <c r="N8" s="15">
        <f ca="1"/>
        <v>0.11939403247493993</v>
      </c>
      <c r="O8" s="15">
        <f ca="1"/>
        <v>0.51776467581634267</v>
      </c>
      <c r="P8" s="15">
        <f ca="1"/>
        <v>0.14205386072997153</v>
      </c>
      <c r="Q8" s="15">
        <f ca="1"/>
        <v>-7.3770089022674569E-3</v>
      </c>
      <c r="R8" s="15">
        <f ca="1"/>
        <v>0.45210603199242927</v>
      </c>
      <c r="S8" s="15">
        <f ca="1"/>
        <v>6.6609890803645336E-2</v>
      </c>
      <c r="T8" s="15">
        <f ca="1"/>
        <v>0.51334355796711106</v>
      </c>
      <c r="U8" s="15">
        <f ca="1"/>
        <v>0.33994762857328054</v>
      </c>
      <c r="V8" s="15">
        <f ca="1"/>
        <v>0.40892527547235241</v>
      </c>
      <c r="W8" s="15">
        <f ca="1"/>
        <v>0.24221424168433797</v>
      </c>
      <c r="X8" s="15">
        <f ca="1"/>
        <v>-5.7006955472036866E-2</v>
      </c>
      <c r="Y8" s="15">
        <f ca="1"/>
        <v>0.20198214720975696</v>
      </c>
      <c r="Z8" s="15">
        <f ca="1"/>
        <v>0.19554304859968186</v>
      </c>
      <c r="AA8" s="15">
        <f ca="1"/>
        <v>0.21748731385448461</v>
      </c>
      <c r="AB8" s="15">
        <f ca="1"/>
        <v>0.72034064173665147</v>
      </c>
      <c r="AC8" s="15">
        <f ca="1"/>
        <v>0.12655764519940291</v>
      </c>
      <c r="AD8" s="15">
        <f ca="1"/>
        <v>0.24398675687620008</v>
      </c>
      <c r="AE8" s="15">
        <f ca="1"/>
        <v>-6.3532861408876637E-2</v>
      </c>
      <c r="AF8" s="15">
        <f ca="1"/>
        <v>5.7469719646389895E-2</v>
      </c>
    </row>
    <row r="9" spans="1:32" x14ac:dyDescent="0.25">
      <c r="A9" s="22" t="s">
        <v>15</v>
      </c>
      <c r="B9" s="30" t="str">
        <f>F5</f>
        <v>ual</v>
      </c>
      <c r="C9" s="15">
        <f ca="1">CORREL(_4,_1)</f>
        <v>0.28197187082643849</v>
      </c>
      <c r="D9" s="15">
        <f ca="1">CORREL(_4,_2)</f>
        <v>0.77239469420253226</v>
      </c>
      <c r="E9" s="15">
        <f ca="1">CORREL(_4,_3)</f>
        <v>0.28835086300113671</v>
      </c>
      <c r="F9" s="15">
        <f ca="1">CORREL(_4,_4)</f>
        <v>1</v>
      </c>
      <c r="G9" s="15" cm="1">
        <f t="array" aca="1" ref="G9:AF9" ca="1">TRANSPOSE(F10:F35)</f>
        <v>0.13635791734123795</v>
      </c>
      <c r="H9" s="15">
        <f ca="1"/>
        <v>0.35165592565138493</v>
      </c>
      <c r="I9" s="15">
        <f ca="1"/>
        <v>0.30754243050323699</v>
      </c>
      <c r="J9" s="15">
        <f ca="1"/>
        <v>0.10810279029201655</v>
      </c>
      <c r="K9" s="15">
        <f ca="1"/>
        <v>0.24901328188358277</v>
      </c>
      <c r="L9" s="15">
        <f ca="1"/>
        <v>0.14000129360929464</v>
      </c>
      <c r="M9" s="15">
        <f ca="1"/>
        <v>0.50445892363111067</v>
      </c>
      <c r="N9" s="15">
        <f ca="1"/>
        <v>-0.16445833632648188</v>
      </c>
      <c r="O9" s="15">
        <f ca="1"/>
        <v>0.26807378331157861</v>
      </c>
      <c r="P9" s="15">
        <f ca="1"/>
        <v>0.28854552565878516</v>
      </c>
      <c r="Q9" s="15">
        <f ca="1"/>
        <v>0.24903505722414951</v>
      </c>
      <c r="R9" s="15">
        <f ca="1"/>
        <v>0.39128593084209506</v>
      </c>
      <c r="S9" s="15">
        <f ca="1"/>
        <v>0.11601917464613737</v>
      </c>
      <c r="T9" s="15">
        <f ca="1"/>
        <v>0.16404959140583678</v>
      </c>
      <c r="U9" s="15">
        <f ca="1"/>
        <v>0.32368371249210443</v>
      </c>
      <c r="V9" s="15">
        <f ca="1"/>
        <v>0.53831808121170854</v>
      </c>
      <c r="W9" s="15">
        <f ca="1"/>
        <v>0.51974101898479241</v>
      </c>
      <c r="X9" s="15">
        <f ca="1"/>
        <v>0.22288109393741301</v>
      </c>
      <c r="Y9" s="15">
        <f ca="1"/>
        <v>7.6216795204240309E-2</v>
      </c>
      <c r="Z9" s="15">
        <f ca="1"/>
        <v>-0.10836381494391106</v>
      </c>
      <c r="AA9" s="15">
        <f ca="1"/>
        <v>0.47755155999271465</v>
      </c>
      <c r="AB9" s="15">
        <f ca="1"/>
        <v>7.3966503977593259E-2</v>
      </c>
      <c r="AC9" s="15">
        <f ca="1"/>
        <v>0.14656539118450557</v>
      </c>
      <c r="AD9" s="15">
        <f ca="1"/>
        <v>0.32036157977514168</v>
      </c>
      <c r="AE9" s="15">
        <f ca="1"/>
        <v>-4.2646057963903281E-3</v>
      </c>
      <c r="AF9" s="15">
        <f ca="1"/>
        <v>0.24128633611901165</v>
      </c>
    </row>
    <row r="10" spans="1:32" x14ac:dyDescent="0.25">
      <c r="A10" s="22" t="s">
        <v>16</v>
      </c>
      <c r="B10" s="30" t="str">
        <f>G5</f>
        <v>meta</v>
      </c>
      <c r="C10" s="15">
        <f ca="1">CORREL(_5,_1)</f>
        <v>0.20196333691468721</v>
      </c>
      <c r="D10" s="15">
        <f ca="1">CORREL(_5,_2)</f>
        <v>0.23308934900174857</v>
      </c>
      <c r="E10" s="15">
        <f ca="1">CORREL(_5,_3)</f>
        <v>0.46925205299284872</v>
      </c>
      <c r="F10" s="15">
        <f ca="1">CORREL(_5,_4)</f>
        <v>0.13635791734123795</v>
      </c>
      <c r="G10" s="15">
        <f ca="1">CORREL(_5,_5)</f>
        <v>0.99999999999999989</v>
      </c>
      <c r="H10" s="15" cm="1">
        <f t="array" aca="1" ref="H10:AF10" ca="1">TRANSPOSE(G11:G35)</f>
        <v>0.16810123196001073</v>
      </c>
      <c r="I10" s="15">
        <f ca="1"/>
        <v>1.4457273616592639E-2</v>
      </c>
      <c r="J10" s="15">
        <f ca="1"/>
        <v>0.26509361345913446</v>
      </c>
      <c r="K10" s="15">
        <f ca="1"/>
        <v>0.19615354204574545</v>
      </c>
      <c r="L10" s="15">
        <f ca="1"/>
        <v>0.31461130040776047</v>
      </c>
      <c r="M10" s="15">
        <f ca="1"/>
        <v>0.15418749543243709</v>
      </c>
      <c r="N10" s="15">
        <f ca="1"/>
        <v>-4.9017675431747253E-2</v>
      </c>
      <c r="O10" s="15">
        <f ca="1"/>
        <v>0.30436757993556796</v>
      </c>
      <c r="P10" s="15">
        <f ca="1"/>
        <v>0.12529029954948825</v>
      </c>
      <c r="Q10" s="15">
        <f ca="1"/>
        <v>-0.24193124681827152</v>
      </c>
      <c r="R10" s="15">
        <f ca="1"/>
        <v>0.44473857264920175</v>
      </c>
      <c r="S10" s="15">
        <f ca="1"/>
        <v>0.21625046526748856</v>
      </c>
      <c r="T10" s="15">
        <f ca="1"/>
        <v>0.21681547165064979</v>
      </c>
      <c r="U10" s="15">
        <f ca="1"/>
        <v>0.3850705867865295</v>
      </c>
      <c r="V10" s="15">
        <f ca="1"/>
        <v>0.25835260525206355</v>
      </c>
      <c r="W10" s="15">
        <f ca="1"/>
        <v>1.9819278504924501E-2</v>
      </c>
      <c r="X10" s="15">
        <f ca="1"/>
        <v>6.6658238150506921E-2</v>
      </c>
      <c r="Y10" s="15">
        <f ca="1"/>
        <v>0.14543883764595325</v>
      </c>
      <c r="Z10" s="15">
        <f ca="1"/>
        <v>9.2722874562690363E-2</v>
      </c>
      <c r="AA10" s="15">
        <f ca="1"/>
        <v>0.24316243784238104</v>
      </c>
      <c r="AB10" s="15">
        <f ca="1"/>
        <v>0.52760598059044517</v>
      </c>
      <c r="AC10" s="15">
        <f ca="1"/>
        <v>0.15610340435537184</v>
      </c>
      <c r="AD10" s="15">
        <f ca="1"/>
        <v>0.26868869733830208</v>
      </c>
      <c r="AE10" s="15">
        <f ca="1"/>
        <v>3.4224907141955446E-2</v>
      </c>
      <c r="AF10" s="15">
        <f ca="1"/>
        <v>3.9367468294984172E-2</v>
      </c>
    </row>
    <row r="11" spans="1:32" x14ac:dyDescent="0.25">
      <c r="A11" s="22" t="s">
        <v>17</v>
      </c>
      <c r="B11" s="30" t="str">
        <f>H5</f>
        <v>f</v>
      </c>
      <c r="C11" s="15">
        <f ca="1">CORREL(_6,_1)</f>
        <v>0.34188172343004597</v>
      </c>
      <c r="D11" s="15">
        <f ca="1">CORREL(_6,_2)</f>
        <v>0.4394519489602714</v>
      </c>
      <c r="E11" s="15">
        <f ca="1">CORREL(_6,_3)</f>
        <v>0.44999902343593051</v>
      </c>
      <c r="F11" s="15">
        <f ca="1">CORREL(_6,_4)</f>
        <v>0.35165592565138493</v>
      </c>
      <c r="G11" s="15">
        <f ca="1">CORREL(_6,_5)</f>
        <v>0.16810123196001073</v>
      </c>
      <c r="H11" s="15">
        <f ca="1">CORREL(_6,_6)</f>
        <v>1</v>
      </c>
      <c r="I11" s="15" cm="1">
        <f t="array" aca="1" ref="I11:AF11" ca="1">TRANSPOSE(H12:H35)</f>
        <v>0.4302358320736861</v>
      </c>
      <c r="J11" s="15">
        <f ca="1"/>
        <v>0.32347519977674044</v>
      </c>
      <c r="K11" s="15">
        <f ca="1"/>
        <v>0.36546713014492999</v>
      </c>
      <c r="L11" s="15">
        <f ca="1"/>
        <v>0.22685302777968636</v>
      </c>
      <c r="M11" s="15">
        <f ca="1"/>
        <v>0.56675904592473836</v>
      </c>
      <c r="N11" s="15">
        <f ca="1"/>
        <v>0.10794132376723721</v>
      </c>
      <c r="O11" s="15">
        <f ca="1"/>
        <v>0.33018614834980237</v>
      </c>
      <c r="P11" s="15">
        <f ca="1"/>
        <v>0.31322999828306597</v>
      </c>
      <c r="Q11" s="15">
        <f ca="1"/>
        <v>0.4283376365587499</v>
      </c>
      <c r="R11" s="15">
        <f ca="1"/>
        <v>0.20945652268389514</v>
      </c>
      <c r="S11" s="15">
        <f ca="1"/>
        <v>7.8810947306930196E-2</v>
      </c>
      <c r="T11" s="15">
        <f ca="1"/>
        <v>0.4046400343915138</v>
      </c>
      <c r="U11" s="15">
        <f ca="1"/>
        <v>0.45592051925400845</v>
      </c>
      <c r="V11" s="15">
        <f ca="1"/>
        <v>0.47890759604971805</v>
      </c>
      <c r="W11" s="15">
        <f ca="1"/>
        <v>0.45053606630805304</v>
      </c>
      <c r="X11" s="15">
        <f ca="1"/>
        <v>9.9756190998885566E-2</v>
      </c>
      <c r="Y11" s="15">
        <f ca="1"/>
        <v>0.19034765675383994</v>
      </c>
      <c r="Z11" s="15">
        <f ca="1"/>
        <v>5.0937303275408193E-2</v>
      </c>
      <c r="AA11" s="15">
        <f ca="1"/>
        <v>0.3525286361796624</v>
      </c>
      <c r="AB11" s="15">
        <f ca="1"/>
        <v>0.37151331444481617</v>
      </c>
      <c r="AC11" s="15">
        <f ca="1"/>
        <v>0.22748276185252991</v>
      </c>
      <c r="AD11" s="15">
        <f ca="1"/>
        <v>0.21653935121440784</v>
      </c>
      <c r="AE11" s="15">
        <f ca="1"/>
        <v>7.3231605816541215E-2</v>
      </c>
      <c r="AF11" s="15">
        <f ca="1"/>
        <v>0.35983384438668375</v>
      </c>
    </row>
    <row r="12" spans="1:32" x14ac:dyDescent="0.25">
      <c r="A12" s="22" t="s">
        <v>18</v>
      </c>
      <c r="B12" s="30" t="str">
        <f>I5</f>
        <v>hog</v>
      </c>
      <c r="C12" s="15">
        <f ca="1">CORREL(_7,_1)</f>
        <v>0.23794903808148299</v>
      </c>
      <c r="D12" s="15">
        <f ca="1">CORREL(_7,_2)</f>
        <v>0.35115828520223674</v>
      </c>
      <c r="E12" s="15">
        <f ca="1">CORREL(_7,_3)</f>
        <v>0.2634793521139065</v>
      </c>
      <c r="F12" s="15">
        <f ca="1">CORREL(_7,_4)</f>
        <v>0.30754243050323699</v>
      </c>
      <c r="G12" s="15">
        <f ca="1">CORREL(_7,_5)</f>
        <v>1.4457273616592639E-2</v>
      </c>
      <c r="H12" s="15">
        <f ca="1">CORREL(_7,_6)</f>
        <v>0.4302358320736861</v>
      </c>
      <c r="I12" s="15">
        <f ca="1">CORREL(_7,_7)</f>
        <v>1</v>
      </c>
      <c r="J12" s="15" cm="1">
        <f t="array" aca="1" ref="J12:AF12" ca="1">TRANSPOSE(I13:I35)</f>
        <v>0.38193064482533684</v>
      </c>
      <c r="K12" s="15">
        <f ca="1"/>
        <v>0.38557874013460325</v>
      </c>
      <c r="L12" s="15">
        <f ca="1"/>
        <v>9.3329487016047832E-2</v>
      </c>
      <c r="M12" s="15">
        <f ca="1"/>
        <v>0.503940247357472</v>
      </c>
      <c r="N12" s="15">
        <f ca="1"/>
        <v>-0.17523417429192079</v>
      </c>
      <c r="O12" s="15">
        <f ca="1"/>
        <v>8.1570765340136533E-2</v>
      </c>
      <c r="P12" s="15">
        <f ca="1"/>
        <v>0.44115793624749144</v>
      </c>
      <c r="Q12" s="15">
        <f ca="1"/>
        <v>0.30025052840840571</v>
      </c>
      <c r="R12" s="15">
        <f ca="1"/>
        <v>0.30082411875514847</v>
      </c>
      <c r="S12" s="15">
        <f ca="1"/>
        <v>0.18469702973776614</v>
      </c>
      <c r="T12" s="15">
        <f ca="1"/>
        <v>0.27892505008774299</v>
      </c>
      <c r="U12" s="15">
        <f ca="1"/>
        <v>0.54793722509341725</v>
      </c>
      <c r="V12" s="15">
        <f ca="1"/>
        <v>0.45164080919086175</v>
      </c>
      <c r="W12" s="15">
        <f ca="1"/>
        <v>0.64131198597419248</v>
      </c>
      <c r="X12" s="15">
        <f ca="1"/>
        <v>0.16766111868602263</v>
      </c>
      <c r="Y12" s="15">
        <f ca="1"/>
        <v>0.30285759030155279</v>
      </c>
      <c r="Z12" s="15">
        <f ca="1"/>
        <v>0.14607044530719074</v>
      </c>
      <c r="AA12" s="15">
        <f ca="1"/>
        <v>0.29638741299195126</v>
      </c>
      <c r="AB12" s="15">
        <f ca="1"/>
        <v>0.1409362835763488</v>
      </c>
      <c r="AC12" s="15">
        <f ca="1"/>
        <v>0.30990289460419473</v>
      </c>
      <c r="AD12" s="15">
        <f ca="1"/>
        <v>0.19401622108927119</v>
      </c>
      <c r="AE12" s="15">
        <f ca="1"/>
        <v>0.162703930702806</v>
      </c>
      <c r="AF12" s="15">
        <f ca="1"/>
        <v>0.35078389241413255</v>
      </c>
    </row>
    <row r="13" spans="1:32" x14ac:dyDescent="0.25">
      <c r="A13" s="22" t="s">
        <v>19</v>
      </c>
      <c r="B13" s="30" t="str">
        <f>J5</f>
        <v>pzza</v>
      </c>
      <c r="C13" s="15">
        <f ca="1">CORREL(_8,_1)</f>
        <v>0.20574545028581001</v>
      </c>
      <c r="D13" s="15">
        <f ca="1">CORREL(_8,_2)</f>
        <v>0.18799713042783645</v>
      </c>
      <c r="E13" s="15">
        <f ca="1">CORREL(_8,_3)</f>
        <v>0.30684048499503908</v>
      </c>
      <c r="F13" s="15">
        <f ca="1">CORREL(_8,_4)</f>
        <v>0.10810279029201655</v>
      </c>
      <c r="G13" s="15">
        <f ca="1">CORREL(_8,_5)</f>
        <v>0.26509361345913446</v>
      </c>
      <c r="H13" s="15">
        <f ca="1">CORREL(_8,_6)</f>
        <v>0.32347519977674044</v>
      </c>
      <c r="I13" s="15">
        <f ca="1">CORREL(_8,_7)</f>
        <v>0.38193064482533684</v>
      </c>
      <c r="J13" s="15">
        <f ca="1">CORREL(_8,_8)</f>
        <v>1</v>
      </c>
      <c r="K13" s="15" cm="1">
        <f t="array" aca="1" ref="K13:AF13" ca="1">TRANSPOSE(J14:J35)</f>
        <v>0.20252699855538128</v>
      </c>
      <c r="L13" s="15">
        <f ca="1"/>
        <v>0.25690079704238117</v>
      </c>
      <c r="M13" s="15">
        <f ca="1"/>
        <v>0.32456121014154704</v>
      </c>
      <c r="N13" s="15">
        <f ca="1"/>
        <v>2.0392850428623793E-2</v>
      </c>
      <c r="O13" s="15">
        <f ca="1"/>
        <v>0.14895007857075207</v>
      </c>
      <c r="P13" s="15">
        <f ca="1"/>
        <v>0.34335823556644507</v>
      </c>
      <c r="Q13" s="15">
        <f ca="1"/>
        <v>0.10484812983840222</v>
      </c>
      <c r="R13" s="15">
        <f ca="1"/>
        <v>0.30270654159132993</v>
      </c>
      <c r="S13" s="15">
        <f ca="1"/>
        <v>0.26249344217679316</v>
      </c>
      <c r="T13" s="15">
        <f ca="1"/>
        <v>0.28437004742693867</v>
      </c>
      <c r="U13" s="15">
        <f ca="1"/>
        <v>0.46849079779767383</v>
      </c>
      <c r="V13" s="15">
        <f ca="1"/>
        <v>0.27611676292973542</v>
      </c>
      <c r="W13" s="15">
        <f ca="1"/>
        <v>0.2936463747015845</v>
      </c>
      <c r="X13" s="15">
        <f ca="1"/>
        <v>0.14564055739410606</v>
      </c>
      <c r="Y13" s="15">
        <f ca="1"/>
        <v>0.13208518232228603</v>
      </c>
      <c r="Z13" s="15">
        <f ca="1"/>
        <v>0.11809748923475301</v>
      </c>
      <c r="AA13" s="15">
        <f ca="1"/>
        <v>0.28423642152941714</v>
      </c>
      <c r="AB13" s="15">
        <f ca="1"/>
        <v>0.33086461291259539</v>
      </c>
      <c r="AC13" s="15">
        <f ca="1"/>
        <v>0.32495736052668334</v>
      </c>
      <c r="AD13" s="15">
        <f ca="1"/>
        <v>4.2470308408139597E-2</v>
      </c>
      <c r="AE13" s="15">
        <f ca="1"/>
        <v>0.13001969520859885</v>
      </c>
      <c r="AF13" s="15">
        <f ca="1"/>
        <v>0.31544650686286324</v>
      </c>
    </row>
    <row r="14" spans="1:32" x14ac:dyDescent="0.25">
      <c r="A14" s="22" t="s">
        <v>20</v>
      </c>
      <c r="B14" s="30" t="str">
        <f>K5</f>
        <v>ba</v>
      </c>
      <c r="C14" s="15">
        <f ca="1">CORREL(_9,_1)</f>
        <v>0.14217494738824871</v>
      </c>
      <c r="D14" s="15">
        <f ca="1">CORREL(_9,_2)</f>
        <v>0.39939763611360685</v>
      </c>
      <c r="E14" s="15">
        <f ca="1">CORREL(_9,_3)</f>
        <v>0.31719271523916109</v>
      </c>
      <c r="F14" s="15">
        <f ca="1">CORREL(_9,_4)</f>
        <v>0.24901328188358277</v>
      </c>
      <c r="G14" s="15">
        <f ca="1">CORREL(_9,_5)</f>
        <v>0.19615354204574545</v>
      </c>
      <c r="H14" s="15">
        <f ca="1">CORREL(_9,_6)</f>
        <v>0.36546713014492999</v>
      </c>
      <c r="I14" s="15">
        <f ca="1">CORREL(_9,_7)</f>
        <v>0.38557874013460325</v>
      </c>
      <c r="J14" s="15">
        <f ca="1">CORREL(_9,_8)</f>
        <v>0.20252699855538128</v>
      </c>
      <c r="K14" s="15">
        <f ca="1">CORREL(_9,_9)</f>
        <v>1.0000000000000002</v>
      </c>
      <c r="L14" s="15" cm="1">
        <f t="array" aca="1" ref="L14:AF14" ca="1">TRANSPOSE(K15:K35)</f>
        <v>0.1095478457582751</v>
      </c>
      <c r="M14" s="15">
        <f ca="1"/>
        <v>0.31593901299600796</v>
      </c>
      <c r="N14" s="15">
        <f ca="1"/>
        <v>-0.24554641758277676</v>
      </c>
      <c r="O14" s="15">
        <f ca="1"/>
        <v>0.29350938024446099</v>
      </c>
      <c r="P14" s="15">
        <f ca="1"/>
        <v>0.34495138150994376</v>
      </c>
      <c r="Q14" s="15">
        <f ca="1"/>
        <v>5.6523302944728293E-2</v>
      </c>
      <c r="R14" s="15">
        <f ca="1"/>
        <v>0.40775840062182889</v>
      </c>
      <c r="S14" s="15">
        <f ca="1"/>
        <v>0.15786249308951941</v>
      </c>
      <c r="T14" s="15">
        <f ca="1"/>
        <v>0.31889550357077739</v>
      </c>
      <c r="U14" s="15">
        <f ca="1"/>
        <v>0.33091368610603333</v>
      </c>
      <c r="V14" s="15">
        <f ca="1"/>
        <v>0.43796682426763417</v>
      </c>
      <c r="W14" s="15">
        <f ca="1"/>
        <v>0.34146553667739932</v>
      </c>
      <c r="X14" s="15">
        <f ca="1"/>
        <v>0.13809259853690098</v>
      </c>
      <c r="Y14" s="15">
        <f ca="1"/>
        <v>0.10446611993714197</v>
      </c>
      <c r="Z14" s="15">
        <f ca="1"/>
        <v>8.5186808767923533E-2</v>
      </c>
      <c r="AA14" s="15">
        <f ca="1"/>
        <v>0.41122974605557355</v>
      </c>
      <c r="AB14" s="15">
        <f ca="1"/>
        <v>0.33148555134758401</v>
      </c>
      <c r="AC14" s="15">
        <f ca="1"/>
        <v>0.17828895433068959</v>
      </c>
      <c r="AD14" s="15">
        <f ca="1"/>
        <v>9.0783018396905169E-2</v>
      </c>
      <c r="AE14" s="15">
        <f ca="1"/>
        <v>0.27162714322986703</v>
      </c>
      <c r="AF14" s="15">
        <f ca="1"/>
        <v>0.34202099966733607</v>
      </c>
    </row>
    <row r="15" spans="1:32" x14ac:dyDescent="0.25">
      <c r="A15" s="22" t="s">
        <v>21</v>
      </c>
      <c r="B15" s="30" t="str">
        <f>L5</f>
        <v>cmg</v>
      </c>
      <c r="C15" s="15">
        <f ca="1">CORREL(_10,_1)</f>
        <v>0.22412539772495271</v>
      </c>
      <c r="D15" s="15">
        <f ca="1">CORREL(_10,_2)</f>
        <v>0.26587182748148258</v>
      </c>
      <c r="E15" s="15">
        <f ca="1">CORREL(_10,_3)</f>
        <v>0.29027248842211856</v>
      </c>
      <c r="F15" s="15">
        <f ca="1">CORREL(_10,_4)</f>
        <v>0.14000129360929464</v>
      </c>
      <c r="G15" s="15">
        <f ca="1">CORREL(_10,_5)</f>
        <v>0.31461130040776047</v>
      </c>
      <c r="H15" s="15">
        <f ca="1">CORREL(_10,_6)</f>
        <v>0.22685302777968636</v>
      </c>
      <c r="I15" s="15">
        <f ca="1">CORREL(_10,_7)</f>
        <v>9.3329487016047832E-2</v>
      </c>
      <c r="J15" s="15">
        <f ca="1">CORREL(_10,_8)</f>
        <v>0.25690079704238117</v>
      </c>
      <c r="K15" s="15">
        <f ca="1">CORREL(_10,_9)</f>
        <v>0.1095478457582751</v>
      </c>
      <c r="L15" s="15">
        <f ca="1">CORREL(_10,_10)</f>
        <v>1</v>
      </c>
      <c r="M15" s="15" cm="1">
        <f t="array" aca="1" ref="M15:AF15" ca="1">TRANSPOSE(L16:L35)</f>
        <v>-6.8135546508195817E-3</v>
      </c>
      <c r="N15" s="15">
        <f ca="1"/>
        <v>0.33505099974622188</v>
      </c>
      <c r="O15" s="15">
        <f ca="1"/>
        <v>0.31228197949440051</v>
      </c>
      <c r="P15" s="15">
        <f ca="1"/>
        <v>9.4339790424269876E-2</v>
      </c>
      <c r="Q15" s="15">
        <f ca="1"/>
        <v>8.4632870322708595E-3</v>
      </c>
      <c r="R15" s="15">
        <f ca="1"/>
        <v>0.26976146241874693</v>
      </c>
      <c r="S15" s="15">
        <f ca="1"/>
        <v>7.9688505176709765E-2</v>
      </c>
      <c r="T15" s="15">
        <f ca="1"/>
        <v>0.36460429683562789</v>
      </c>
      <c r="U15" s="15">
        <f ca="1"/>
        <v>0.24133529581950858</v>
      </c>
      <c r="V15" s="15">
        <f ca="1"/>
        <v>0.17935825193595595</v>
      </c>
      <c r="W15" s="15">
        <f ca="1"/>
        <v>0.17146915003397442</v>
      </c>
      <c r="X15" s="15">
        <f ca="1"/>
        <v>0.16934290533736773</v>
      </c>
      <c r="Y15" s="15">
        <f ca="1"/>
        <v>0.35791274871038653</v>
      </c>
      <c r="Z15" s="15">
        <f ca="1"/>
        <v>-1.1932196962619976E-2</v>
      </c>
      <c r="AA15" s="15">
        <f ca="1"/>
        <v>0.28015252439808602</v>
      </c>
      <c r="AB15" s="15">
        <f ca="1"/>
        <v>0.45838713533625131</v>
      </c>
      <c r="AC15" s="15">
        <f ca="1"/>
        <v>0.42908358162259097</v>
      </c>
      <c r="AD15" s="15">
        <f ca="1"/>
        <v>0.30044665060359788</v>
      </c>
      <c r="AE15" s="15">
        <f ca="1"/>
        <v>0.12816997030902147</v>
      </c>
      <c r="AF15" s="15">
        <f ca="1"/>
        <v>0.22390285559361536</v>
      </c>
    </row>
    <row r="16" spans="1:32" x14ac:dyDescent="0.25">
      <c r="A16" s="22" t="s">
        <v>22</v>
      </c>
      <c r="B16" s="30" t="str">
        <f>M5</f>
        <v>cat</v>
      </c>
      <c r="C16" s="15">
        <f ca="1">CORREL(_11,_1)</f>
        <v>0.2309533808172253</v>
      </c>
      <c r="D16" s="15">
        <f ca="1">CORREL(_11,_2)</f>
        <v>0.50352850481905953</v>
      </c>
      <c r="E16" s="15">
        <f ca="1">CORREL(_11,_3)</f>
        <v>0.38826263535803635</v>
      </c>
      <c r="F16" s="15">
        <f ca="1">CORREL(_11,_4)</f>
        <v>0.50445892363111067</v>
      </c>
      <c r="G16" s="15">
        <f ca="1">CORREL(_11,_5)</f>
        <v>0.15418749543243709</v>
      </c>
      <c r="H16" s="15">
        <f ca="1">CORREL(_11,_6)</f>
        <v>0.56675904592473836</v>
      </c>
      <c r="I16" s="15">
        <f ca="1">CORREL(_11,_7)</f>
        <v>0.503940247357472</v>
      </c>
      <c r="J16" s="15">
        <f ca="1">CORREL(_11,_8)</f>
        <v>0.32456121014154704</v>
      </c>
      <c r="K16" s="15">
        <f ca="1">CORREL(_11,_9)</f>
        <v>0.31593901299600796</v>
      </c>
      <c r="L16" s="15">
        <f ca="1">CORREL(_11,_10)</f>
        <v>-6.8135546508195817E-3</v>
      </c>
      <c r="M16" s="15">
        <f ca="1">CORREL(_11,_11)</f>
        <v>0.99999999999999978</v>
      </c>
      <c r="N16" s="15" cm="1">
        <f t="array" aca="1" ref="N16:AF16" ca="1">TRANSPOSE(M17:M35)</f>
        <v>9.0694051556741512E-2</v>
      </c>
      <c r="O16" s="15">
        <f ca="1"/>
        <v>0.31434358591787975</v>
      </c>
      <c r="P16" s="15">
        <f ca="1"/>
        <v>0.55433322886415959</v>
      </c>
      <c r="Q16" s="15">
        <f ca="1"/>
        <v>0.46084115247381335</v>
      </c>
      <c r="R16" s="15">
        <f ca="1"/>
        <v>0.40449028207199555</v>
      </c>
      <c r="S16" s="15">
        <f ca="1"/>
        <v>0.44809342640249522</v>
      </c>
      <c r="T16" s="15">
        <f ca="1"/>
        <v>0.25939738809800139</v>
      </c>
      <c r="U16" s="15">
        <f ca="1"/>
        <v>0.4743343578870528</v>
      </c>
      <c r="V16" s="15">
        <f ca="1"/>
        <v>0.64424983448217277</v>
      </c>
      <c r="W16" s="15">
        <f ca="1"/>
        <v>0.65535784838035271</v>
      </c>
      <c r="X16" s="15">
        <f ca="1"/>
        <v>0.17479693278294514</v>
      </c>
      <c r="Y16" s="15">
        <f ca="1"/>
        <v>0.2748691548700038</v>
      </c>
      <c r="Z16" s="15">
        <f ca="1"/>
        <v>0.1664612465629241</v>
      </c>
      <c r="AA16" s="15">
        <f ca="1"/>
        <v>0.5010852450007286</v>
      </c>
      <c r="AB16" s="15">
        <f ca="1"/>
        <v>0.30052913496153644</v>
      </c>
      <c r="AC16" s="15">
        <f ca="1"/>
        <v>0.29732630750608852</v>
      </c>
      <c r="AD16" s="15">
        <f ca="1"/>
        <v>0.30933931346068749</v>
      </c>
      <c r="AE16" s="15">
        <f ca="1"/>
        <v>0.23481214240276177</v>
      </c>
      <c r="AF16" s="15">
        <f ca="1"/>
        <v>0.3320464113006476</v>
      </c>
    </row>
    <row r="17" spans="1:32" x14ac:dyDescent="0.25">
      <c r="A17" s="22" t="s">
        <v>23</v>
      </c>
      <c r="B17" s="30" t="str">
        <f>N5</f>
        <v>lly</v>
      </c>
      <c r="C17" s="15">
        <f ca="1">CORREL(_12,_1)</f>
        <v>-0.10635317876527235</v>
      </c>
      <c r="D17" s="15">
        <f ca="1">CORREL(_12,_2)</f>
        <v>-0.15521457239976236</v>
      </c>
      <c r="E17" s="15">
        <f ca="1">CORREL(_12,_3)</f>
        <v>0.11939403247493993</v>
      </c>
      <c r="F17" s="15">
        <f ca="1">CORREL(_12,_4)</f>
        <v>-0.16445833632648188</v>
      </c>
      <c r="G17" s="15">
        <f ca="1">CORREL(_12,_5)</f>
        <v>-4.9017675431747253E-2</v>
      </c>
      <c r="H17" s="15">
        <f ca="1">CORREL(_12,_6)</f>
        <v>0.10794132376723721</v>
      </c>
      <c r="I17" s="15">
        <f ca="1">CORREL(_12,_7)</f>
        <v>-0.17523417429192079</v>
      </c>
      <c r="J17" s="15">
        <f ca="1">CORREL(_12,_8)</f>
        <v>2.0392850428623793E-2</v>
      </c>
      <c r="K17" s="15">
        <f ca="1">CORREL(_12,_9)</f>
        <v>-0.24554641758277676</v>
      </c>
      <c r="L17" s="15">
        <f ca="1">CORREL(_12,_10)</f>
        <v>0.33505099974622188</v>
      </c>
      <c r="M17" s="15">
        <f ca="1">CORREL(_12,_11)</f>
        <v>9.0694051556741512E-2</v>
      </c>
      <c r="N17" s="15">
        <f ca="1">CORREL(_12,_12)</f>
        <v>1.0000000000000002</v>
      </c>
      <c r="O17" s="15" cm="1">
        <f t="array" aca="1" ref="O17:AF17" ca="1">TRANSPOSE(N18:N35)</f>
        <v>0.15207888116789459</v>
      </c>
      <c r="P17" s="15">
        <f ca="1"/>
        <v>4.9957397544400442E-2</v>
      </c>
      <c r="Q17" s="15">
        <f ca="1"/>
        <v>4.0118030181804876E-2</v>
      </c>
      <c r="R17" s="15">
        <f ca="1"/>
        <v>2.4955300362813895E-3</v>
      </c>
      <c r="S17" s="15">
        <f ca="1"/>
        <v>8.2942141916902537E-2</v>
      </c>
      <c r="T17" s="15">
        <f ca="1"/>
        <v>0.21248452616725944</v>
      </c>
      <c r="U17" s="15">
        <f ca="1"/>
        <v>-1.3604765131521047E-2</v>
      </c>
      <c r="V17" s="15">
        <f ca="1"/>
        <v>1.5332581288713525E-2</v>
      </c>
      <c r="W17" s="15">
        <f ca="1"/>
        <v>5.4835929228164151E-3</v>
      </c>
      <c r="X17" s="15">
        <f ca="1"/>
        <v>2.1357545847685566E-2</v>
      </c>
      <c r="Y17" s="15">
        <f ca="1"/>
        <v>0.1672418776802268</v>
      </c>
      <c r="Z17" s="15">
        <f ca="1"/>
        <v>0.18181367513713015</v>
      </c>
      <c r="AA17" s="15">
        <f ca="1"/>
        <v>-7.6136834977130006E-3</v>
      </c>
      <c r="AB17" s="15">
        <f ca="1"/>
        <v>0.1918418286781122</v>
      </c>
      <c r="AC17" s="15">
        <f ca="1"/>
        <v>0.23127078607711285</v>
      </c>
      <c r="AD17" s="15">
        <f ca="1"/>
        <v>0.26021534568772764</v>
      </c>
      <c r="AE17" s="15">
        <f ca="1"/>
        <v>0.21751476989646856</v>
      </c>
      <c r="AF17" s="15">
        <f ca="1"/>
        <v>0.11668289836872547</v>
      </c>
    </row>
    <row r="18" spans="1:32" x14ac:dyDescent="0.25">
      <c r="A18" s="22" t="s">
        <v>24</v>
      </c>
      <c r="B18" s="30" t="str">
        <f>O5</f>
        <v>googl</v>
      </c>
      <c r="C18" s="15">
        <f ca="1">CORREL(_13,_1)</f>
        <v>0.43942498362591537</v>
      </c>
      <c r="D18" s="15">
        <f ca="1">CORREL(_13,_2)</f>
        <v>0.27222594883222573</v>
      </c>
      <c r="E18" s="15">
        <f ca="1">CORREL(_13,_3)</f>
        <v>0.51776467581634267</v>
      </c>
      <c r="F18" s="15">
        <f ca="1">CORREL(_13,_4)</f>
        <v>0.26807378331157861</v>
      </c>
      <c r="G18" s="15">
        <f ca="1">CORREL(_13,_5)</f>
        <v>0.30436757993556796</v>
      </c>
      <c r="H18" s="15">
        <f ca="1">CORREL(_13,_6)</f>
        <v>0.33018614834980237</v>
      </c>
      <c r="I18" s="15">
        <f ca="1">CORREL(_13,_7)</f>
        <v>8.1570765340136533E-2</v>
      </c>
      <c r="J18" s="15">
        <f ca="1">CORREL(_13,_8)</f>
        <v>0.14895007857075207</v>
      </c>
      <c r="K18" s="15">
        <f ca="1">CORREL(_13,_9)</f>
        <v>0.29350938024446099</v>
      </c>
      <c r="L18" s="15">
        <f ca="1">CORREL(_13,_10)</f>
        <v>0.31228197949440051</v>
      </c>
      <c r="M18" s="15">
        <f ca="1">CORREL(_13,_11)</f>
        <v>0.31434358591787975</v>
      </c>
      <c r="N18" s="15">
        <f ca="1">CORREL(_13,_12)</f>
        <v>0.15207888116789459</v>
      </c>
      <c r="O18" s="15">
        <f ca="1">CORREL(_13,_13)</f>
        <v>0.99999999999999989</v>
      </c>
      <c r="P18" s="15" cm="1">
        <f t="array" aca="1" ref="P18:AF18" ca="1">TRANSPOSE(O19:O35)</f>
        <v>0.28712196982360372</v>
      </c>
      <c r="Q18" s="15">
        <f ca="1"/>
        <v>-5.124562645431293E-2</v>
      </c>
      <c r="R18" s="15">
        <f ca="1"/>
        <v>0.26907545332146715</v>
      </c>
      <c r="S18" s="15">
        <f ca="1"/>
        <v>8.9443853257951011E-2</v>
      </c>
      <c r="T18" s="15">
        <f ca="1"/>
        <v>0.46088864477034591</v>
      </c>
      <c r="U18" s="15">
        <f ca="1"/>
        <v>0.18893110492887533</v>
      </c>
      <c r="V18" s="15">
        <f ca="1"/>
        <v>0.28643675874207197</v>
      </c>
      <c r="W18" s="15">
        <f ca="1"/>
        <v>0.21781663223330031</v>
      </c>
      <c r="X18" s="15">
        <f ca="1"/>
        <v>-0.10778689625187766</v>
      </c>
      <c r="Y18" s="15">
        <f ca="1"/>
        <v>0.15803992442321091</v>
      </c>
      <c r="Z18" s="15">
        <f ca="1"/>
        <v>0.18498704389905554</v>
      </c>
      <c r="AA18" s="15">
        <f ca="1"/>
        <v>0.16729277880455445</v>
      </c>
      <c r="AB18" s="15">
        <f ca="1"/>
        <v>0.5444523989566975</v>
      </c>
      <c r="AC18" s="15">
        <f ca="1"/>
        <v>6.8171249409468823E-2</v>
      </c>
      <c r="AD18" s="15">
        <f ca="1"/>
        <v>0.2154984413013411</v>
      </c>
      <c r="AE18" s="15">
        <f ca="1"/>
        <v>1.6201778200092706E-2</v>
      </c>
      <c r="AF18" s="15">
        <f ca="1"/>
        <v>5.3719214328086497E-2</v>
      </c>
    </row>
    <row r="19" spans="1:32" x14ac:dyDescent="0.25">
      <c r="A19" s="22" t="s">
        <v>25</v>
      </c>
      <c r="B19" s="30" t="str">
        <f>P5</f>
        <v>mmm</v>
      </c>
      <c r="C19" s="15">
        <f ca="1">CORREL(_14,_1)</f>
        <v>0.18562463293842657</v>
      </c>
      <c r="D19" s="15">
        <f ca="1">CORREL(_14,_2)</f>
        <v>0.3147040221099931</v>
      </c>
      <c r="E19" s="15">
        <f ca="1">CORREL(_14,_3)</f>
        <v>0.14205386072997153</v>
      </c>
      <c r="F19" s="15">
        <f ca="1">CORREL(_14,_4)</f>
        <v>0.28854552565878516</v>
      </c>
      <c r="G19" s="15">
        <f ca="1">CORREL(_14,_5)</f>
        <v>0.12529029954948825</v>
      </c>
      <c r="H19" s="15">
        <f ca="1">CORREL(_14,_6)</f>
        <v>0.31322999828306597</v>
      </c>
      <c r="I19" s="15">
        <f ca="1">CORREL(_14,_7)</f>
        <v>0.44115793624749144</v>
      </c>
      <c r="J19" s="15">
        <f ca="1">CORREL(_14,_8)</f>
        <v>0.34335823556644507</v>
      </c>
      <c r="K19" s="15">
        <f ca="1">CORREL(_14,_9)</f>
        <v>0.34495138150994376</v>
      </c>
      <c r="L19" s="15">
        <f ca="1">CORREL(_14,_10)</f>
        <v>9.4339790424269876E-2</v>
      </c>
      <c r="M19" s="15">
        <f ca="1">CORREL(_14,_11)</f>
        <v>0.55433322886415959</v>
      </c>
      <c r="N19" s="15">
        <f ca="1">CORREL(_14,_12)</f>
        <v>4.9957397544400442E-2</v>
      </c>
      <c r="O19" s="15">
        <f ca="1">CORREL(_14,_13)</f>
        <v>0.28712196982360372</v>
      </c>
      <c r="P19" s="15">
        <f ca="1">CORREL(_14,_14)</f>
        <v>1</v>
      </c>
      <c r="Q19" s="15" cm="1">
        <f t="array" aca="1" ref="Q19:AF19" ca="1">TRANSPOSE(P20:P35)</f>
        <v>0.27610575961146733</v>
      </c>
      <c r="R19" s="15">
        <f ca="1"/>
        <v>0.43366218030688031</v>
      </c>
      <c r="S19" s="15">
        <f ca="1"/>
        <v>0.41359710884625189</v>
      </c>
      <c r="T19" s="15">
        <f ca="1"/>
        <v>0.38206948395256268</v>
      </c>
      <c r="U19" s="15">
        <f ca="1"/>
        <v>0.52686807291133286</v>
      </c>
      <c r="V19" s="15">
        <f ca="1"/>
        <v>0.55062068061489211</v>
      </c>
      <c r="W19" s="15">
        <f ca="1"/>
        <v>0.54988147515806796</v>
      </c>
      <c r="X19" s="15">
        <f ca="1"/>
        <v>0.27464796217519011</v>
      </c>
      <c r="Y19" s="15">
        <f ca="1"/>
        <v>0.32706181346622465</v>
      </c>
      <c r="Z19" s="15">
        <f ca="1"/>
        <v>0.34701690660804702</v>
      </c>
      <c r="AA19" s="15">
        <f ca="1"/>
        <v>0.45083156554063641</v>
      </c>
      <c r="AB19" s="15">
        <f ca="1"/>
        <v>0.17453547834729688</v>
      </c>
      <c r="AC19" s="15">
        <f ca="1"/>
        <v>0.42634131704495121</v>
      </c>
      <c r="AD19" s="15">
        <f ca="1"/>
        <v>0.31796550949207103</v>
      </c>
      <c r="AE19" s="15">
        <f ca="1"/>
        <v>0.48675908337503071</v>
      </c>
      <c r="AF19" s="15">
        <f ca="1"/>
        <v>0.47782825976076493</v>
      </c>
    </row>
    <row r="20" spans="1:32" x14ac:dyDescent="0.25">
      <c r="A20" s="22" t="s">
        <v>26</v>
      </c>
      <c r="B20" s="30" t="str">
        <f>Q5</f>
        <v>xom</v>
      </c>
      <c r="C20" s="15">
        <f ca="1">CORREL(_15,_1)</f>
        <v>-0.12947652275837182</v>
      </c>
      <c r="D20" s="15">
        <f ca="1">CORREL(_15,_2)</f>
        <v>0.2344762746411522</v>
      </c>
      <c r="E20" s="15">
        <f ca="1">CORREL(_15,_3)</f>
        <v>-7.3770089022674569E-3</v>
      </c>
      <c r="F20" s="15">
        <f ca="1">CORREL(_15,_4)</f>
        <v>0.24903505722414951</v>
      </c>
      <c r="G20" s="15">
        <f ca="1">CORREL(_15,_5)</f>
        <v>-0.24193124681827152</v>
      </c>
      <c r="H20" s="15">
        <f ca="1">CORREL(_15,_6)</f>
        <v>0.4283376365587499</v>
      </c>
      <c r="I20" s="15">
        <f ca="1">CORREL(_15,_7)</f>
        <v>0.30025052840840571</v>
      </c>
      <c r="J20" s="15">
        <f ca="1">CORREL(_15,_8)</f>
        <v>0.10484812983840222</v>
      </c>
      <c r="K20" s="15">
        <f ca="1">CORREL(_15,_9)</f>
        <v>5.6523302944728293E-2</v>
      </c>
      <c r="L20" s="15">
        <f ca="1">CORREL(_15,_10)</f>
        <v>8.4632870322708595E-3</v>
      </c>
      <c r="M20" s="15">
        <f ca="1">CORREL(_15,_11)</f>
        <v>0.46084115247381335</v>
      </c>
      <c r="N20" s="15">
        <f ca="1">CORREL(_15,_12)</f>
        <v>4.0118030181804876E-2</v>
      </c>
      <c r="O20" s="15">
        <f ca="1">CORREL(_15,_13)</f>
        <v>-5.124562645431293E-2</v>
      </c>
      <c r="P20" s="15">
        <f ca="1">CORREL(_15,_14)</f>
        <v>0.27610575961146733</v>
      </c>
      <c r="Q20" s="15">
        <f ca="1">CORREL(_15,_15)</f>
        <v>1</v>
      </c>
      <c r="R20" s="15" cm="1">
        <f t="array" aca="1" ref="R20:AF20" ca="1">TRANSPOSE(Q21:Q35)</f>
        <v>4.9911671599204392E-2</v>
      </c>
      <c r="S20" s="15">
        <f ca="1"/>
        <v>7.4436058532316607E-2</v>
      </c>
      <c r="T20" s="15">
        <f ca="1"/>
        <v>4.8291513322342078E-2</v>
      </c>
      <c r="U20" s="15">
        <f ca="1"/>
        <v>9.3056596826689264E-2</v>
      </c>
      <c r="V20" s="15">
        <f ca="1"/>
        <v>0.35337990473994257</v>
      </c>
      <c r="W20" s="15">
        <f ca="1"/>
        <v>0.55380740536424888</v>
      </c>
      <c r="X20" s="15">
        <f ca="1"/>
        <v>0.31498931387361001</v>
      </c>
      <c r="Y20" s="15">
        <f ca="1"/>
        <v>8.9171899264433974E-2</v>
      </c>
      <c r="Z20" s="15">
        <f ca="1"/>
        <v>-9.7034808018091931E-2</v>
      </c>
      <c r="AA20" s="15">
        <f ca="1"/>
        <v>0.44203007734638317</v>
      </c>
      <c r="AB20" s="15">
        <f ca="1"/>
        <v>-6.8167352139573187E-2</v>
      </c>
      <c r="AC20" s="15">
        <f ca="1"/>
        <v>0.19599652482378827</v>
      </c>
      <c r="AD20" s="15">
        <f ca="1"/>
        <v>-7.1538868028281452E-2</v>
      </c>
      <c r="AE20" s="15">
        <f ca="1"/>
        <v>0.21891787095832216</v>
      </c>
      <c r="AF20" s="15">
        <f ca="1"/>
        <v>0.2362164530260647</v>
      </c>
    </row>
    <row r="21" spans="1:32" x14ac:dyDescent="0.25">
      <c r="A21" s="22" t="s">
        <v>27</v>
      </c>
      <c r="B21" s="30" t="str">
        <f>R5</f>
        <v>grmn</v>
      </c>
      <c r="C21" s="15">
        <f ca="1">CORREL(_16,_1)</f>
        <v>0.14785902213461583</v>
      </c>
      <c r="D21" s="15">
        <f ca="1">CORREL(_16,_2)</f>
        <v>0.46792825604898308</v>
      </c>
      <c r="E21" s="15">
        <f ca="1">CORREL(_16,_3)</f>
        <v>0.45210603199242927</v>
      </c>
      <c r="F21" s="15">
        <f ca="1">CORREL(_16,_4)</f>
        <v>0.39128593084209506</v>
      </c>
      <c r="G21" s="15">
        <f ca="1">CORREL(_16,_5)</f>
        <v>0.44473857264920175</v>
      </c>
      <c r="H21" s="15">
        <f ca="1">CORREL(_16,_6)</f>
        <v>0.20945652268389514</v>
      </c>
      <c r="I21" s="15">
        <f ca="1">CORREL(_16,_7)</f>
        <v>0.30082411875514847</v>
      </c>
      <c r="J21" s="15">
        <f ca="1">CORREL(_16,_8)</f>
        <v>0.30270654159132993</v>
      </c>
      <c r="K21" s="15">
        <f ca="1">CORREL(_16,_9)</f>
        <v>0.40775840062182889</v>
      </c>
      <c r="L21" s="15">
        <f ca="1">CORREL(_16,_10)</f>
        <v>0.26976146241874693</v>
      </c>
      <c r="M21" s="15">
        <f ca="1">CORREL(_16,_11)</f>
        <v>0.40449028207199555</v>
      </c>
      <c r="N21" s="15">
        <f ca="1">CORREL(_16,_12)</f>
        <v>2.4955300362813895E-3</v>
      </c>
      <c r="O21" s="15">
        <f ca="1">CORREL(_16,_13)</f>
        <v>0.26907545332146715</v>
      </c>
      <c r="P21" s="15">
        <f ca="1">CORREL(_16,_14)</f>
        <v>0.43366218030688031</v>
      </c>
      <c r="Q21" s="15">
        <f ca="1">CORREL(_16,_15)</f>
        <v>4.9911671599204392E-2</v>
      </c>
      <c r="R21" s="15">
        <f ca="1">CORREL(_16,_16)</f>
        <v>0.99999999999999989</v>
      </c>
      <c r="S21" s="15" cm="1">
        <f t="array" aca="1" ref="S21:AF21" ca="1">TRANSPOSE(R22:R35)</f>
        <v>0.25514136190771869</v>
      </c>
      <c r="T21" s="15">
        <f ca="1"/>
        <v>0.3405166718388582</v>
      </c>
      <c r="U21" s="15">
        <f ca="1"/>
        <v>0.39955208138334775</v>
      </c>
      <c r="V21" s="15">
        <f ca="1"/>
        <v>0.54392741407804024</v>
      </c>
      <c r="W21" s="15">
        <f ca="1"/>
        <v>0.43602179529354468</v>
      </c>
      <c r="X21" s="15">
        <f ca="1"/>
        <v>0.35307752802106773</v>
      </c>
      <c r="Y21" s="15">
        <f ca="1"/>
        <v>0.23186891819442779</v>
      </c>
      <c r="Z21" s="15">
        <f ca="1"/>
        <v>0.29666992612538651</v>
      </c>
      <c r="AA21" s="15">
        <f ca="1"/>
        <v>0.44546307676955288</v>
      </c>
      <c r="AB21" s="15">
        <f ca="1"/>
        <v>0.33806345503966462</v>
      </c>
      <c r="AC21" s="15">
        <f ca="1"/>
        <v>0.37473643537356721</v>
      </c>
      <c r="AD21" s="15">
        <f ca="1"/>
        <v>0.24321237523427508</v>
      </c>
      <c r="AE21" s="15">
        <f ca="1"/>
        <v>0.15793779630887653</v>
      </c>
      <c r="AF21" s="15">
        <f ca="1"/>
        <v>0.26036067285609665</v>
      </c>
    </row>
    <row r="22" spans="1:32" x14ac:dyDescent="0.25">
      <c r="A22" s="22" t="s">
        <v>28</v>
      </c>
      <c r="B22" s="30" t="str">
        <f>S5</f>
        <v>ibm</v>
      </c>
      <c r="C22" s="15">
        <f ca="1">CORREL(_17,_1)</f>
        <v>3.5955016198849638E-3</v>
      </c>
      <c r="D22" s="15">
        <f ca="1">CORREL(_17,_2)</f>
        <v>0.20376726457131278</v>
      </c>
      <c r="E22" s="15">
        <f ca="1">CORREL(_17,_3)</f>
        <v>6.6609890803645336E-2</v>
      </c>
      <c r="F22" s="15">
        <f ca="1">CORREL(_17,_4)</f>
        <v>0.11601917464613737</v>
      </c>
      <c r="G22" s="15">
        <f ca="1">CORREL(_17,_5)</f>
        <v>0.21625046526748856</v>
      </c>
      <c r="H22" s="15">
        <f ca="1">CORREL(_17,_6)</f>
        <v>7.8810947306930196E-2</v>
      </c>
      <c r="I22" s="15">
        <f ca="1">CORREL(_17,_7)</f>
        <v>0.18469702973776614</v>
      </c>
      <c r="J22" s="15">
        <f ca="1">CORREL(_17,_8)</f>
        <v>0.26249344217679316</v>
      </c>
      <c r="K22" s="15">
        <f ca="1">CORREL(_17,_9)</f>
        <v>0.15786249308951941</v>
      </c>
      <c r="L22" s="15">
        <f ca="1">CORREL(_17,_10)</f>
        <v>7.9688505176709765E-2</v>
      </c>
      <c r="M22" s="15">
        <f ca="1">CORREL(_17,_11)</f>
        <v>0.44809342640249522</v>
      </c>
      <c r="N22" s="15">
        <f ca="1">CORREL(_17,_12)</f>
        <v>8.2942141916902537E-2</v>
      </c>
      <c r="O22" s="15">
        <f ca="1">CORREL(_17,_13)</f>
        <v>8.9443853257951011E-2</v>
      </c>
      <c r="P22" s="15">
        <f ca="1">CORREL(_17,_14)</f>
        <v>0.41359710884625189</v>
      </c>
      <c r="Q22" s="15">
        <f ca="1">CORREL(_17,_15)</f>
        <v>7.4436058532316607E-2</v>
      </c>
      <c r="R22" s="15">
        <f ca="1">CORREL(_17,_16)</f>
        <v>0.25514136190771869</v>
      </c>
      <c r="S22" s="15">
        <f ca="1">CORREL(_17,_17)</f>
        <v>1</v>
      </c>
      <c r="T22" s="15" cm="1">
        <f t="array" aca="1" ref="T22:AF22" ca="1">TRANSPOSE(S23:S35)</f>
        <v>0.14025743833690299</v>
      </c>
      <c r="U22" s="15">
        <f ca="1"/>
        <v>0.36175287760113828</v>
      </c>
      <c r="V22" s="15">
        <f ca="1"/>
        <v>0.37859524249983312</v>
      </c>
      <c r="W22" s="15">
        <f ca="1"/>
        <v>0.35378498663076935</v>
      </c>
      <c r="X22" s="15">
        <f ca="1"/>
        <v>0.45178407976164164</v>
      </c>
      <c r="Y22" s="15">
        <f ca="1"/>
        <v>0.27550867705351145</v>
      </c>
      <c r="Z22" s="15">
        <f ca="1"/>
        <v>0.26731275996207932</v>
      </c>
      <c r="AA22" s="15">
        <f ca="1"/>
        <v>0.37912033904300746</v>
      </c>
      <c r="AB22" s="15">
        <f ca="1"/>
        <v>0.16058410054863914</v>
      </c>
      <c r="AC22" s="15">
        <f ca="1"/>
        <v>0.20704820750187614</v>
      </c>
      <c r="AD22" s="15">
        <f ca="1"/>
        <v>0.27917655410599995</v>
      </c>
      <c r="AE22" s="15">
        <f ca="1"/>
        <v>0.33822049776414076</v>
      </c>
      <c r="AF22" s="15">
        <f ca="1"/>
        <v>0.28814149439610709</v>
      </c>
    </row>
    <row r="23" spans="1:32" x14ac:dyDescent="0.25">
      <c r="A23" s="22" t="s">
        <v>29</v>
      </c>
      <c r="B23" s="30" t="str">
        <f>T5</f>
        <v>aapl</v>
      </c>
      <c r="C23" s="15">
        <f ca="1">CORREL(_18,_1)</f>
        <v>0.55255284270666993</v>
      </c>
      <c r="D23" s="15">
        <f ca="1">CORREL(_18,_2)</f>
        <v>0.25102919808495366</v>
      </c>
      <c r="E23" s="15">
        <f ca="1">CORREL(_18,_3)</f>
        <v>0.51334355796711106</v>
      </c>
      <c r="F23" s="15">
        <f ca="1">CORREL(_18,_4)</f>
        <v>0.16404959140583678</v>
      </c>
      <c r="G23" s="15">
        <f ca="1">CORREL(_18,_5)</f>
        <v>0.21681547165064979</v>
      </c>
      <c r="H23" s="15">
        <f ca="1">CORREL(_18,_6)</f>
        <v>0.4046400343915138</v>
      </c>
      <c r="I23" s="15">
        <f ca="1">CORREL(_18,_7)</f>
        <v>0.27892505008774299</v>
      </c>
      <c r="J23" s="15">
        <f ca="1">CORREL(_18,_8)</f>
        <v>0.28437004742693867</v>
      </c>
      <c r="K23" s="15">
        <f ca="1">CORREL(_18,_9)</f>
        <v>0.31889550357077739</v>
      </c>
      <c r="L23" s="15">
        <f ca="1">CORREL(_18,_10)</f>
        <v>0.36460429683562789</v>
      </c>
      <c r="M23" s="15">
        <f ca="1">CORREL(_18,_11)</f>
        <v>0.25939738809800139</v>
      </c>
      <c r="N23" s="15">
        <f ca="1">CORREL(_18,_12)</f>
        <v>0.21248452616725944</v>
      </c>
      <c r="O23" s="15">
        <f ca="1">CORREL(_18,_13)</f>
        <v>0.46088864477034591</v>
      </c>
      <c r="P23" s="15">
        <f ca="1">CORREL(_18,_14)</f>
        <v>0.38206948395256268</v>
      </c>
      <c r="Q23" s="15">
        <f ca="1">CORREL(_18,_15)</f>
        <v>4.8291513322342078E-2</v>
      </c>
      <c r="R23" s="15">
        <f ca="1">CORREL(_18,_16)</f>
        <v>0.3405166718388582</v>
      </c>
      <c r="S23" s="15">
        <f ca="1">CORREL(_18,_17)</f>
        <v>0.14025743833690299</v>
      </c>
      <c r="T23" s="15">
        <f ca="1">CORREL(_18,_18)</f>
        <v>1</v>
      </c>
      <c r="U23" s="15" cm="1">
        <f t="array" aca="1" ref="U23:AF23" ca="1">TRANSPOSE(T24:T35)</f>
        <v>0.37190178635479876</v>
      </c>
      <c r="V23" s="15">
        <f ca="1"/>
        <v>0.2012205612055056</v>
      </c>
      <c r="W23" s="15">
        <f ca="1"/>
        <v>0.26997139178746221</v>
      </c>
      <c r="X23" s="15">
        <f ca="1"/>
        <v>0.10247995764643131</v>
      </c>
      <c r="Y23" s="15">
        <f ca="1"/>
        <v>0.26938052219785852</v>
      </c>
      <c r="Z23" s="15">
        <f ca="1"/>
        <v>0.3116332604622834</v>
      </c>
      <c r="AA23" s="15">
        <f ca="1"/>
        <v>0.34764976161907502</v>
      </c>
      <c r="AB23" s="15">
        <f ca="1"/>
        <v>0.49947867300103227</v>
      </c>
      <c r="AC23" s="15">
        <f ca="1"/>
        <v>0.34949548336273389</v>
      </c>
      <c r="AD23" s="15">
        <f ca="1"/>
        <v>0.34673403809264641</v>
      </c>
      <c r="AE23" s="15">
        <f ca="1"/>
        <v>0.24755142348781572</v>
      </c>
      <c r="AF23" s="15">
        <f ca="1"/>
        <v>0.45102281320934634</v>
      </c>
    </row>
    <row r="24" spans="1:32" x14ac:dyDescent="0.25">
      <c r="A24" s="22" t="s">
        <v>30</v>
      </c>
      <c r="B24" s="30" t="str">
        <f>U5</f>
        <v>hd</v>
      </c>
      <c r="C24" s="15">
        <f ca="1">CORREL(_19,_1)</f>
        <v>0.28737197960803706</v>
      </c>
      <c r="D24" s="15">
        <f ca="1">CORREL(_19,_2)</f>
        <v>0.28666986915483228</v>
      </c>
      <c r="E24" s="15">
        <f ca="1">CORREL(_19,_3)</f>
        <v>0.33994762857328054</v>
      </c>
      <c r="F24" s="15">
        <f ca="1">CORREL(_19,_4)</f>
        <v>0.32368371249210443</v>
      </c>
      <c r="G24" s="15">
        <f ca="1">CORREL(_19,_5)</f>
        <v>0.3850705867865295</v>
      </c>
      <c r="H24" s="15">
        <f ca="1">CORREL(_19,_6)</f>
        <v>0.45592051925400845</v>
      </c>
      <c r="I24" s="15">
        <f ca="1">CORREL(_19,_7)</f>
        <v>0.54793722509341725</v>
      </c>
      <c r="J24" s="15">
        <f ca="1">CORREL(_19,_8)</f>
        <v>0.46849079779767383</v>
      </c>
      <c r="K24" s="15">
        <f ca="1">CORREL(_19,_9)</f>
        <v>0.33091368610603333</v>
      </c>
      <c r="L24" s="15">
        <f ca="1">CORREL(_19,_10)</f>
        <v>0.24133529581950858</v>
      </c>
      <c r="M24" s="15">
        <f ca="1">CORREL(_19,_11)</f>
        <v>0.4743343578870528</v>
      </c>
      <c r="N24" s="15">
        <f ca="1">CORREL(_19,_12)</f>
        <v>-1.3604765131521047E-2</v>
      </c>
      <c r="O24" s="15">
        <f ca="1">CORREL(_19,_13)</f>
        <v>0.18893110492887533</v>
      </c>
      <c r="P24" s="15">
        <f ca="1">CORREL(_19,_14)</f>
        <v>0.52686807291133286</v>
      </c>
      <c r="Q24" s="15">
        <f ca="1">CORREL(_19,_15)</f>
        <v>9.3056596826689264E-2</v>
      </c>
      <c r="R24" s="15">
        <f ca="1">CORREL(_19,_16)</f>
        <v>0.39955208138334775</v>
      </c>
      <c r="S24" s="15">
        <f ca="1">CORREL(_19,_17)</f>
        <v>0.36175287760113828</v>
      </c>
      <c r="T24" s="15">
        <f ca="1">CORREL(_19,_18)</f>
        <v>0.37190178635479876</v>
      </c>
      <c r="U24" s="15">
        <f ca="1">CORREL(_19,_19)</f>
        <v>1.0000000000000002</v>
      </c>
      <c r="V24" s="15" cm="1">
        <f t="array" aca="1" ref="V24:AF24" ca="1">TRANSPOSE(U25:U35)</f>
        <v>0.46424065504805262</v>
      </c>
      <c r="W24" s="15">
        <f ca="1"/>
        <v>0.44806040544770553</v>
      </c>
      <c r="X24" s="15">
        <f ca="1"/>
        <v>0.2549702771349005</v>
      </c>
      <c r="Y24" s="15">
        <f ca="1"/>
        <v>0.25820822547756089</v>
      </c>
      <c r="Z24" s="15">
        <f ca="1"/>
        <v>0.3949783992745623</v>
      </c>
      <c r="AA24" s="15">
        <f ca="1"/>
        <v>0.46194129624188501</v>
      </c>
      <c r="AB24" s="15">
        <f ca="1"/>
        <v>0.40724263204133637</v>
      </c>
      <c r="AC24" s="15">
        <f ca="1"/>
        <v>0.43376064834041705</v>
      </c>
      <c r="AD24" s="15">
        <f ca="1"/>
        <v>0.37918088063656286</v>
      </c>
      <c r="AE24" s="15">
        <f ca="1"/>
        <v>0.2204924798439345</v>
      </c>
      <c r="AF24" s="15">
        <f ca="1"/>
        <v>0.53746499891582467</v>
      </c>
    </row>
    <row r="25" spans="1:32" x14ac:dyDescent="0.25">
      <c r="A25" s="22" t="s">
        <v>31</v>
      </c>
      <c r="B25" s="30" t="str">
        <f>V5</f>
        <v>jpm</v>
      </c>
      <c r="C25" s="15">
        <f ca="1">CORREL(_20,_1)</f>
        <v>0.14056915713647422</v>
      </c>
      <c r="D25" s="15">
        <f ca="1">CORREL(_20,_2)</f>
        <v>0.63586391238308582</v>
      </c>
      <c r="E25" s="15">
        <f ca="1">CORREL(_20,_3)</f>
        <v>0.40892527547235241</v>
      </c>
      <c r="F25" s="15">
        <f ca="1">CORREL(_20,_4)</f>
        <v>0.53831808121170854</v>
      </c>
      <c r="G25" s="15">
        <f ca="1">CORREL(_20,_5)</f>
        <v>0.25835260525206355</v>
      </c>
      <c r="H25" s="15">
        <f ca="1">CORREL(_20,_6)</f>
        <v>0.47890759604971805</v>
      </c>
      <c r="I25" s="15">
        <f ca="1">CORREL(_20,_7)</f>
        <v>0.45164080919086175</v>
      </c>
      <c r="J25" s="15">
        <f ca="1">CORREL(_20,_8)</f>
        <v>0.27611676292973542</v>
      </c>
      <c r="K25" s="15">
        <f ca="1">CORREL(_20,_9)</f>
        <v>0.43796682426763417</v>
      </c>
      <c r="L25" s="15">
        <f ca="1">CORREL(_20,_10)</f>
        <v>0.17935825193595595</v>
      </c>
      <c r="M25" s="15">
        <f ca="1">CORREL(_20,_11)</f>
        <v>0.64424983448217277</v>
      </c>
      <c r="N25" s="15">
        <f ca="1">CORREL(_20,_12)</f>
        <v>1.5332581288713525E-2</v>
      </c>
      <c r="O25" s="15">
        <f ca="1">CORREL(_20,_13)</f>
        <v>0.28643675874207197</v>
      </c>
      <c r="P25" s="15">
        <f ca="1">CORREL(_20,_14)</f>
        <v>0.55062068061489211</v>
      </c>
      <c r="Q25" s="15">
        <f ca="1">CORREL(_20,_15)</f>
        <v>0.35337990473994257</v>
      </c>
      <c r="R25" s="15">
        <f ca="1">CORREL(_20,_16)</f>
        <v>0.54392741407804024</v>
      </c>
      <c r="S25" s="15">
        <f ca="1">CORREL(_20,_17)</f>
        <v>0.37859524249983312</v>
      </c>
      <c r="T25" s="15">
        <f ca="1">CORREL(_20,_18)</f>
        <v>0.2012205612055056</v>
      </c>
      <c r="U25" s="15">
        <f ca="1">CORREL(_20,_19)</f>
        <v>0.46424065504805262</v>
      </c>
      <c r="V25" s="15">
        <f ca="1">CORREL(_20,_20)</f>
        <v>0.99999999999999978</v>
      </c>
      <c r="W25" s="15" cm="1">
        <f t="array" aca="1" ref="W25:AF25" ca="1">TRANSPOSE(V26:V35)</f>
        <v>0.71660844322976514</v>
      </c>
      <c r="X25" s="15">
        <f ca="1"/>
        <v>0.24301337597687744</v>
      </c>
      <c r="Y25" s="15">
        <f ca="1"/>
        <v>0.1342470722271574</v>
      </c>
      <c r="Z25" s="15">
        <f ca="1"/>
        <v>8.2700268705685254E-2</v>
      </c>
      <c r="AA25" s="15">
        <f ca="1"/>
        <v>0.46852451870763751</v>
      </c>
      <c r="AB25" s="15">
        <f ca="1"/>
        <v>0.30589898537076932</v>
      </c>
      <c r="AC25" s="15">
        <f ca="1"/>
        <v>0.34316201082835507</v>
      </c>
      <c r="AD25" s="15">
        <f ca="1"/>
        <v>0.22865165575038873</v>
      </c>
      <c r="AE25" s="15">
        <f ca="1"/>
        <v>0.17408676055040706</v>
      </c>
      <c r="AF25" s="15">
        <f ca="1"/>
        <v>0.26561487217859386</v>
      </c>
    </row>
    <row r="26" spans="1:32" x14ac:dyDescent="0.25">
      <c r="A26" s="22" t="s">
        <v>32</v>
      </c>
      <c r="B26" s="30" t="str">
        <f>W5</f>
        <v>pru</v>
      </c>
      <c r="C26" s="15">
        <f ca="1">CORREL(_21,_1)</f>
        <v>0.12020709790308702</v>
      </c>
      <c r="D26" s="15">
        <f ca="1">CORREL(_21,_2)</f>
        <v>0.56968939864922463</v>
      </c>
      <c r="E26" s="15">
        <f ca="1">CORREL(_21,_3)</f>
        <v>0.24221424168433797</v>
      </c>
      <c r="F26" s="15">
        <f ca="1">CORREL(_21,_4)</f>
        <v>0.51974101898479241</v>
      </c>
      <c r="G26" s="15">
        <f ca="1">CORREL(_21,_5)</f>
        <v>1.9819278504924501E-2</v>
      </c>
      <c r="H26" s="15">
        <f ca="1">CORREL(_21,_6)</f>
        <v>0.45053606630805304</v>
      </c>
      <c r="I26" s="15">
        <f ca="1">CORREL(_21,_7)</f>
        <v>0.64131198597419248</v>
      </c>
      <c r="J26" s="15">
        <f ca="1">CORREL(_21,_8)</f>
        <v>0.2936463747015845</v>
      </c>
      <c r="K26" s="15">
        <f ca="1">CORREL(_21,_9)</f>
        <v>0.34146553667739932</v>
      </c>
      <c r="L26" s="15">
        <f ca="1">CORREL(_21,_10)</f>
        <v>0.17146915003397442</v>
      </c>
      <c r="M26" s="15">
        <f ca="1">CORREL(_21,_11)</f>
        <v>0.65535784838035271</v>
      </c>
      <c r="N26" s="15">
        <f ca="1">CORREL(_21,_12)</f>
        <v>5.4835929228164151E-3</v>
      </c>
      <c r="O26" s="15">
        <f ca="1">CORREL(_21,_13)</f>
        <v>0.21781663223330031</v>
      </c>
      <c r="P26" s="15">
        <f ca="1">CORREL(_21,_14)</f>
        <v>0.54988147515806796</v>
      </c>
      <c r="Q26" s="15">
        <f ca="1">CORREL(_21,_15)</f>
        <v>0.55380740536424888</v>
      </c>
      <c r="R26" s="15">
        <f ca="1">CORREL(_21,_16)</f>
        <v>0.43602179529354468</v>
      </c>
      <c r="S26" s="15">
        <f ca="1">CORREL(_21,_17)</f>
        <v>0.35378498663076935</v>
      </c>
      <c r="T26" s="15">
        <f ca="1">CORREL(_21,_18)</f>
        <v>0.26997139178746221</v>
      </c>
      <c r="U26" s="15">
        <f ca="1">CORREL(_21,_19)</f>
        <v>0.44806040544770553</v>
      </c>
      <c r="V26" s="15">
        <f ca="1">CORREL(_21,_20)</f>
        <v>0.71660844322976514</v>
      </c>
      <c r="W26" s="15">
        <f ca="1">CORREL(_21,_21)</f>
        <v>0.99999999999999978</v>
      </c>
      <c r="X26" s="15" cm="1">
        <f t="array" aca="1" ref="X26:AF26" ca="1">TRANSPOSE(W27:W35)</f>
        <v>0.32011290066287407</v>
      </c>
      <c r="Y26" s="15">
        <f ca="1"/>
        <v>0.25927393783946462</v>
      </c>
      <c r="Z26" s="15">
        <f ca="1"/>
        <v>0.15519073270018743</v>
      </c>
      <c r="AA26" s="15">
        <f ca="1"/>
        <v>0.52074559539639931</v>
      </c>
      <c r="AB26" s="15">
        <f ca="1"/>
        <v>0.13807283667016379</v>
      </c>
      <c r="AC26" s="15">
        <f ca="1"/>
        <v>0.35841780301878284</v>
      </c>
      <c r="AD26" s="15">
        <f ca="1"/>
        <v>0.29076933896216517</v>
      </c>
      <c r="AE26" s="15">
        <f ca="1"/>
        <v>0.30964592954445269</v>
      </c>
      <c r="AF26" s="15">
        <f ca="1"/>
        <v>0.34663512293040577</v>
      </c>
    </row>
    <row r="27" spans="1:32" x14ac:dyDescent="0.25">
      <c r="A27" s="22" t="s">
        <v>33</v>
      </c>
      <c r="B27" s="30" t="str">
        <f>X5</f>
        <v>t</v>
      </c>
      <c r="C27" s="15">
        <f ca="1">CORREL(_22,_1)</f>
        <v>-0.18679839787250066</v>
      </c>
      <c r="D27" s="15">
        <f ca="1">CORREL(_22,_2)</f>
        <v>0.17534602293307183</v>
      </c>
      <c r="E27" s="15">
        <f ca="1">CORREL(_22,_3)</f>
        <v>-5.7006955472036866E-2</v>
      </c>
      <c r="F27" s="15">
        <f ca="1">CORREL(_22,_4)</f>
        <v>0.22288109393741301</v>
      </c>
      <c r="G27" s="15">
        <f ca="1">CORREL(_22,_5)</f>
        <v>6.6658238150506921E-2</v>
      </c>
      <c r="H27" s="15">
        <f ca="1">CORREL(_22,_6)</f>
        <v>9.9756190998885566E-2</v>
      </c>
      <c r="I27" s="15">
        <f ca="1">CORREL(_22,_7)</f>
        <v>0.16766111868602263</v>
      </c>
      <c r="J27" s="15">
        <f ca="1">CORREL(_22,_8)</f>
        <v>0.14564055739410606</v>
      </c>
      <c r="K27" s="15">
        <f ca="1">CORREL(_22,_9)</f>
        <v>0.13809259853690098</v>
      </c>
      <c r="L27" s="15">
        <f ca="1">CORREL(_22,_10)</f>
        <v>0.16934290533736773</v>
      </c>
      <c r="M27" s="15">
        <f ca="1">CORREL(_22,_11)</f>
        <v>0.17479693278294514</v>
      </c>
      <c r="N27" s="15">
        <f ca="1">CORREL(_22,_12)</f>
        <v>2.1357545847685566E-2</v>
      </c>
      <c r="O27" s="15">
        <f ca="1">CORREL(_22,_13)</f>
        <v>-0.10778689625187766</v>
      </c>
      <c r="P27" s="15">
        <f ca="1">CORREL(_22,_14)</f>
        <v>0.27464796217519011</v>
      </c>
      <c r="Q27" s="15">
        <f ca="1">CORREL(_22,_15)</f>
        <v>0.31498931387361001</v>
      </c>
      <c r="R27" s="15">
        <f ca="1">CORREL(_22,_16)</f>
        <v>0.35307752802106773</v>
      </c>
      <c r="S27" s="15">
        <f ca="1">CORREL(_22,_17)</f>
        <v>0.45178407976164164</v>
      </c>
      <c r="T27" s="15">
        <f ca="1">CORREL(_22,_18)</f>
        <v>0.10247995764643131</v>
      </c>
      <c r="U27" s="15">
        <f ca="1">CORREL(_22,_19)</f>
        <v>0.2549702771349005</v>
      </c>
      <c r="V27" s="15">
        <f ca="1">CORREL(_22,_20)</f>
        <v>0.24301337597687744</v>
      </c>
      <c r="W27" s="15">
        <f ca="1">CORREL(_22,_21)</f>
        <v>0.32011290066287407</v>
      </c>
      <c r="X27" s="15">
        <f ca="1">CORREL(_22,_22)</f>
        <v>0.99999999999999978</v>
      </c>
      <c r="Y27" s="15" cm="1">
        <f t="array" aca="1" ref="Y27:AF27" ca="1">TRANSPOSE(X28:X35)</f>
        <v>0.2448818944666824</v>
      </c>
      <c r="Z27" s="15">
        <f ca="1"/>
        <v>0.17918262723022843</v>
      </c>
      <c r="AA27" s="15">
        <f ca="1"/>
        <v>0.4480564749782649</v>
      </c>
      <c r="AB27" s="15">
        <f ca="1"/>
        <v>6.7171528225377893E-3</v>
      </c>
      <c r="AC27" s="15">
        <f ca="1"/>
        <v>0.41435297469313465</v>
      </c>
      <c r="AD27" s="15">
        <f ca="1"/>
        <v>0.14084725167570139</v>
      </c>
      <c r="AE27" s="15">
        <f ca="1"/>
        <v>0.35657975379957885</v>
      </c>
      <c r="AF27" s="15">
        <f ca="1"/>
        <v>0.44785561641767307</v>
      </c>
    </row>
    <row r="28" spans="1:32" x14ac:dyDescent="0.25">
      <c r="A28" s="22" t="s">
        <v>34</v>
      </c>
      <c r="B28" s="30" t="str">
        <f>Y5</f>
        <v>kr</v>
      </c>
      <c r="C28" s="15">
        <f ca="1">CORREL(_23,_1)</f>
        <v>0.11986564629240762</v>
      </c>
      <c r="D28" s="15">
        <f ca="1">CORREL(_23,_2)</f>
        <v>0.11692795828109884</v>
      </c>
      <c r="E28" s="15">
        <f ca="1">CORREL(_23,_3)</f>
        <v>0.20198214720975696</v>
      </c>
      <c r="F28" s="15">
        <f ca="1">CORREL(_23,_4)</f>
        <v>7.6216795204240309E-2</v>
      </c>
      <c r="G28" s="15">
        <f ca="1">CORREL(_23,_5)</f>
        <v>0.14543883764595325</v>
      </c>
      <c r="H28" s="15">
        <f ca="1">CORREL(_23,_6)</f>
        <v>0.19034765675383994</v>
      </c>
      <c r="I28" s="15">
        <f ca="1">CORREL(_23,_7)</f>
        <v>0.30285759030155279</v>
      </c>
      <c r="J28" s="15">
        <f ca="1">CORREL(_23,_8)</f>
        <v>0.13208518232228603</v>
      </c>
      <c r="K28" s="15">
        <f ca="1">CORREL(_23,_9)</f>
        <v>0.10446611993714197</v>
      </c>
      <c r="L28" s="15">
        <f ca="1">CORREL(_23,_10)</f>
        <v>0.35791274871038653</v>
      </c>
      <c r="M28" s="15">
        <f ca="1">CORREL(_23,_11)</f>
        <v>0.2748691548700038</v>
      </c>
      <c r="N28" s="15">
        <f ca="1">CORREL(_23,_12)</f>
        <v>0.1672418776802268</v>
      </c>
      <c r="O28" s="15">
        <f ca="1">CORREL(_23,_13)</f>
        <v>0.15803992442321091</v>
      </c>
      <c r="P28" s="15">
        <f ca="1">CORREL(_23,_14)</f>
        <v>0.32706181346622465</v>
      </c>
      <c r="Q28" s="15">
        <f ca="1">CORREL(_23,_15)</f>
        <v>8.9171899264433974E-2</v>
      </c>
      <c r="R28" s="15">
        <f ca="1">CORREL(_23,_16)</f>
        <v>0.23186891819442779</v>
      </c>
      <c r="S28" s="15">
        <f ca="1">CORREL(_23,_17)</f>
        <v>0.27550867705351145</v>
      </c>
      <c r="T28" s="15">
        <f ca="1">CORREL(_23,_18)</f>
        <v>0.26938052219785852</v>
      </c>
      <c r="U28" s="15">
        <f ca="1">CORREL(_23,_19)</f>
        <v>0.25820822547756089</v>
      </c>
      <c r="V28" s="15">
        <f ca="1">CORREL(_23,_20)</f>
        <v>0.1342470722271574</v>
      </c>
      <c r="W28" s="15">
        <f ca="1">CORREL(_23,_21)</f>
        <v>0.25927393783946462</v>
      </c>
      <c r="X28" s="15">
        <f ca="1">CORREL(_23,_22)</f>
        <v>0.2448818944666824</v>
      </c>
      <c r="Y28" s="15">
        <f ca="1">CORREL(_23,_23)</f>
        <v>1.0000000000000002</v>
      </c>
      <c r="Z28" s="15" cm="1">
        <f t="array" aca="1" ref="Z28:AF28" ca="1">TRANSPOSE(Y29:Y35)</f>
        <v>0.35747667001919803</v>
      </c>
      <c r="AA28" s="15">
        <f ca="1"/>
        <v>9.5018019747544966E-2</v>
      </c>
      <c r="AB28" s="15">
        <f ca="1"/>
        <v>0.24522527437237121</v>
      </c>
      <c r="AC28" s="15">
        <f ca="1"/>
        <v>0.3774336262729161</v>
      </c>
      <c r="AD28" s="15">
        <f ca="1"/>
        <v>0.40380862546713242</v>
      </c>
      <c r="AE28" s="15">
        <f ca="1"/>
        <v>0.24979187393547175</v>
      </c>
      <c r="AF28" s="15">
        <f ca="1"/>
        <v>0.32022240027490406</v>
      </c>
    </row>
    <row r="29" spans="1:32" x14ac:dyDescent="0.25">
      <c r="A29" s="22" t="s">
        <v>35</v>
      </c>
      <c r="B29" s="30" t="str">
        <f>Z5</f>
        <v>pfe</v>
      </c>
      <c r="C29" s="15">
        <f ca="1">CORREL(_24,_1)</f>
        <v>-3.2725397194663448E-2</v>
      </c>
      <c r="D29" s="15">
        <f ca="1">CORREL(_24,_2)</f>
        <v>-0.1946351940044907</v>
      </c>
      <c r="E29" s="15">
        <f ca="1">CORREL(_24,_3)</f>
        <v>0.19554304859968186</v>
      </c>
      <c r="F29" s="15">
        <f ca="1">CORREL(_24,_4)</f>
        <v>-0.10836381494391106</v>
      </c>
      <c r="G29" s="15">
        <f ca="1">CORREL(_24,_5)</f>
        <v>9.2722874562690363E-2</v>
      </c>
      <c r="H29" s="15">
        <f ca="1">CORREL(_24,_6)</f>
        <v>5.0937303275408193E-2</v>
      </c>
      <c r="I29" s="15">
        <f ca="1">CORREL(_24,_7)</f>
        <v>0.14607044530719074</v>
      </c>
      <c r="J29" s="15">
        <f ca="1">CORREL(_24,_8)</f>
        <v>0.11809748923475301</v>
      </c>
      <c r="K29" s="15">
        <f ca="1">CORREL(_24,_9)</f>
        <v>8.5186808767923533E-2</v>
      </c>
      <c r="L29" s="15">
        <f ca="1">CORREL(_24,_10)</f>
        <v>-1.1932196962619976E-2</v>
      </c>
      <c r="M29" s="15">
        <f ca="1">CORREL(_24,_11)</f>
        <v>0.1664612465629241</v>
      </c>
      <c r="N29" s="15">
        <f ca="1">CORREL(_24,_12)</f>
        <v>0.18181367513713015</v>
      </c>
      <c r="O29" s="15">
        <f ca="1">CORREL(_24,_13)</f>
        <v>0.18498704389905554</v>
      </c>
      <c r="P29" s="15">
        <f ca="1">CORREL(_24,_14)</f>
        <v>0.34701690660804702</v>
      </c>
      <c r="Q29" s="15">
        <f ca="1">CORREL(_24,_15)</f>
        <v>-9.7034808018091931E-2</v>
      </c>
      <c r="R29" s="15">
        <f ca="1">CORREL(_24,_16)</f>
        <v>0.29666992612538651</v>
      </c>
      <c r="S29" s="15">
        <f ca="1">CORREL(_24,_17)</f>
        <v>0.26731275996207932</v>
      </c>
      <c r="T29" s="15">
        <f ca="1">CORREL(_24,_18)</f>
        <v>0.3116332604622834</v>
      </c>
      <c r="U29" s="15">
        <f ca="1">CORREL(_24,_19)</f>
        <v>0.3949783992745623</v>
      </c>
      <c r="V29" s="15">
        <f ca="1">CORREL(_24,_20)</f>
        <v>8.2700268705685254E-2</v>
      </c>
      <c r="W29" s="15">
        <f ca="1">CORREL(_24,_21)</f>
        <v>0.15519073270018743</v>
      </c>
      <c r="X29" s="15">
        <f ca="1">CORREL(_24,_22)</f>
        <v>0.17918262723022843</v>
      </c>
      <c r="Y29" s="15">
        <f ca="1">CORREL(_24,_23)</f>
        <v>0.35747667001919803</v>
      </c>
      <c r="Z29" s="15">
        <f ca="1">CORREL(_24,_24)</f>
        <v>1.0000000000000002</v>
      </c>
      <c r="AA29" s="15" cm="1">
        <f t="array" aca="1" ref="AA29:AF29" ca="1">TRANSPOSE(Z30:Z35)</f>
        <v>4.551521341695499E-2</v>
      </c>
      <c r="AB29" s="15">
        <f ca="1"/>
        <v>0.15736175781493655</v>
      </c>
      <c r="AC29" s="15">
        <f ca="1"/>
        <v>0.33467398979027607</v>
      </c>
      <c r="AD29" s="15">
        <f ca="1"/>
        <v>9.6563542154497833E-2</v>
      </c>
      <c r="AE29" s="15">
        <f ca="1"/>
        <v>0.19659757977873404</v>
      </c>
      <c r="AF29" s="15">
        <f ca="1"/>
        <v>0.24292123494112791</v>
      </c>
    </row>
    <row r="30" spans="1:32" x14ac:dyDescent="0.25">
      <c r="A30" s="22" t="s">
        <v>36</v>
      </c>
      <c r="B30" s="30" t="str">
        <f>AA5</f>
        <v>ma</v>
      </c>
      <c r="C30" s="15">
        <f ca="1">CORREL(_25,_1)</f>
        <v>5.9866997522799177E-2</v>
      </c>
      <c r="D30" s="15">
        <f ca="1">CORREL(_25,_2)</f>
        <v>0.53185801700715529</v>
      </c>
      <c r="E30" s="15">
        <f ca="1">CORREL(_25,_3)</f>
        <v>0.21748731385448461</v>
      </c>
      <c r="F30" s="15">
        <f ca="1">CORREL(_25,_4)</f>
        <v>0.47755155999271465</v>
      </c>
      <c r="G30" s="15">
        <f ca="1">CORREL(_25,_5)</f>
        <v>0.24316243784238104</v>
      </c>
      <c r="H30" s="15">
        <f ca="1">CORREL(_25,_6)</f>
        <v>0.3525286361796624</v>
      </c>
      <c r="I30" s="15">
        <f ca="1">CORREL(_25,_7)</f>
        <v>0.29638741299195126</v>
      </c>
      <c r="J30" s="15">
        <f ca="1">CORREL(_25,_8)</f>
        <v>0.28423642152941714</v>
      </c>
      <c r="K30" s="15">
        <f ca="1">CORREL(_25,_9)</f>
        <v>0.41122974605557355</v>
      </c>
      <c r="L30" s="15">
        <f ca="1">CORREL(_25,_10)</f>
        <v>0.28015252439808602</v>
      </c>
      <c r="M30" s="15">
        <f ca="1">CORREL(_25,_11)</f>
        <v>0.5010852450007286</v>
      </c>
      <c r="N30" s="15">
        <f ca="1">CORREL(_25,_12)</f>
        <v>-7.6136834977130006E-3</v>
      </c>
      <c r="O30" s="15">
        <f ca="1">CORREL(_25,_13)</f>
        <v>0.16729277880455445</v>
      </c>
      <c r="P30" s="15">
        <f ca="1">CORREL(_25,_14)</f>
        <v>0.45083156554063641</v>
      </c>
      <c r="Q30" s="15">
        <f ca="1">CORREL(_25,_15)</f>
        <v>0.44203007734638317</v>
      </c>
      <c r="R30" s="15">
        <f ca="1">CORREL(_25,_16)</f>
        <v>0.44546307676955288</v>
      </c>
      <c r="S30" s="15">
        <f ca="1">CORREL(_25,_17)</f>
        <v>0.37912033904300746</v>
      </c>
      <c r="T30" s="15">
        <f ca="1">CORREL(_25,_18)</f>
        <v>0.34764976161907502</v>
      </c>
      <c r="U30" s="15">
        <f ca="1">CORREL(_25,_19)</f>
        <v>0.46194129624188501</v>
      </c>
      <c r="V30" s="15">
        <f ca="1">CORREL(_25,_20)</f>
        <v>0.46852451870763751</v>
      </c>
      <c r="W30" s="15">
        <f ca="1">CORREL(_25,_21)</f>
        <v>0.52074559539639931</v>
      </c>
      <c r="X30" s="15">
        <f ca="1">CORREL(_25,_22)</f>
        <v>0.4480564749782649</v>
      </c>
      <c r="Y30" s="15">
        <f ca="1">CORREL(_25,_23)</f>
        <v>9.5018019747544966E-2</v>
      </c>
      <c r="Z30" s="15">
        <f ca="1">CORREL(_25,_24)</f>
        <v>4.551521341695499E-2</v>
      </c>
      <c r="AA30" s="15">
        <f ca="1">CORREL(_25,_25)</f>
        <v>1</v>
      </c>
      <c r="AB30" s="15" cm="1">
        <f t="array" aca="1" ref="AB30:AF30" ca="1">TRANSPOSE(AA31:AA35)</f>
        <v>0.25960679088264732</v>
      </c>
      <c r="AC30" s="15">
        <f ca="1"/>
        <v>0.52035011478363491</v>
      </c>
      <c r="AD30" s="15">
        <f ca="1"/>
        <v>0.30130857375130621</v>
      </c>
      <c r="AE30" s="15">
        <f ca="1"/>
        <v>0.52407288263189367</v>
      </c>
      <c r="AF30" s="15">
        <f ca="1"/>
        <v>0.62151968984695527</v>
      </c>
    </row>
    <row r="31" spans="1:32" x14ac:dyDescent="0.25">
      <c r="A31" s="22" t="s">
        <v>37</v>
      </c>
      <c r="B31" s="30" t="str">
        <f>AB5</f>
        <v>msft</v>
      </c>
      <c r="C31" s="15">
        <f ca="1">CORREL(_26,_1)</f>
        <v>0.39853322868355923</v>
      </c>
      <c r="D31" s="15">
        <f ca="1">CORREL(_26,_2)</f>
        <v>0.25206179078942298</v>
      </c>
      <c r="E31" s="15">
        <f ca="1">CORREL(_26,_3)</f>
        <v>0.72034064173665147</v>
      </c>
      <c r="F31" s="15">
        <f ca="1">CORREL(_26,_4)</f>
        <v>7.3966503977593259E-2</v>
      </c>
      <c r="G31" s="15">
        <f ca="1">CORREL(_26,_5)</f>
        <v>0.52760598059044517</v>
      </c>
      <c r="H31" s="15">
        <f ca="1">CORREL(_26,_6)</f>
        <v>0.37151331444481617</v>
      </c>
      <c r="I31" s="15">
        <f ca="1">CORREL(_26,_7)</f>
        <v>0.1409362835763488</v>
      </c>
      <c r="J31" s="15">
        <f ca="1">CORREL(_26,_8)</f>
        <v>0.33086461291259539</v>
      </c>
      <c r="K31" s="15">
        <f ca="1">CORREL(_26,_9)</f>
        <v>0.33148555134758401</v>
      </c>
      <c r="L31" s="15">
        <f ca="1">CORREL(_26,_10)</f>
        <v>0.45838713533625131</v>
      </c>
      <c r="M31" s="15">
        <f ca="1">CORREL(_26,_11)</f>
        <v>0.30052913496153644</v>
      </c>
      <c r="N31" s="15">
        <f ca="1">CORREL(_26,_12)</f>
        <v>0.1918418286781122</v>
      </c>
      <c r="O31" s="15">
        <f ca="1">CORREL(_26,_13)</f>
        <v>0.5444523989566975</v>
      </c>
      <c r="P31" s="15">
        <f ca="1">CORREL(_26,_14)</f>
        <v>0.17453547834729688</v>
      </c>
      <c r="Q31" s="15">
        <f ca="1">CORREL(_26,_15)</f>
        <v>-6.8167352139573187E-2</v>
      </c>
      <c r="R31" s="15">
        <f ca="1">CORREL(_26,_16)</f>
        <v>0.33806345503966462</v>
      </c>
      <c r="S31" s="15">
        <f ca="1">CORREL(_26,_17)</f>
        <v>0.16058410054863914</v>
      </c>
      <c r="T31" s="15">
        <f ca="1">CORREL(_26,_18)</f>
        <v>0.49947867300103227</v>
      </c>
      <c r="U31" s="15">
        <f ca="1">CORREL(_26,_19)</f>
        <v>0.40724263204133637</v>
      </c>
      <c r="V31" s="15">
        <f ca="1">CORREL(_26,_20)</f>
        <v>0.30589898537076932</v>
      </c>
      <c r="W31" s="15">
        <f ca="1">CORREL(_26,_21)</f>
        <v>0.13807283667016379</v>
      </c>
      <c r="X31" s="15">
        <f ca="1">CORREL(_26,_22)</f>
        <v>6.7171528225377893E-3</v>
      </c>
      <c r="Y31" s="15">
        <f ca="1">CORREL(_26,_23)</f>
        <v>0.24522527437237121</v>
      </c>
      <c r="Z31" s="15">
        <f ca="1">CORREL(_26,_24)</f>
        <v>0.15736175781493655</v>
      </c>
      <c r="AA31" s="15">
        <f ca="1">CORREL(_26,_25)</f>
        <v>0.25960679088264732</v>
      </c>
      <c r="AB31" s="15">
        <f ca="1">CORREL(_26,_26)</f>
        <v>1</v>
      </c>
      <c r="AC31" s="15" cm="1">
        <f t="array" aca="1" ref="AC31:AF31" ca="1">TRANSPOSE(AB32:AB35)</f>
        <v>0.2024542457101785</v>
      </c>
      <c r="AD31" s="15">
        <f ca="1"/>
        <v>0.3318657938071391</v>
      </c>
      <c r="AE31" s="15">
        <f ca="1"/>
        <v>0.14289933992330472</v>
      </c>
      <c r="AF31" s="15">
        <f ca="1"/>
        <v>0.20013650495402796</v>
      </c>
    </row>
    <row r="32" spans="1:32" x14ac:dyDescent="0.25">
      <c r="A32" s="22" t="s">
        <v>38</v>
      </c>
      <c r="B32" s="30" t="str">
        <f>AC5</f>
        <v>yum</v>
      </c>
      <c r="C32" s="15">
        <f ca="1">CORREL(_27,_1)</f>
        <v>-6.0248796672720782E-2</v>
      </c>
      <c r="D32" s="15">
        <f ca="1">CORREL(_27,_2)</f>
        <v>0.1552659317915103</v>
      </c>
      <c r="E32" s="15">
        <f ca="1">CORREL(_27,_3)</f>
        <v>0.12655764519940291</v>
      </c>
      <c r="F32" s="15">
        <f ca="1">CORREL(_27,_4)</f>
        <v>0.14656539118450557</v>
      </c>
      <c r="G32" s="15">
        <f ca="1">CORREL(_27,_5)</f>
        <v>0.15610340435537184</v>
      </c>
      <c r="H32" s="15">
        <f ca="1">CORREL(_27,_6)</f>
        <v>0.22748276185252991</v>
      </c>
      <c r="I32" s="15">
        <f ca="1">CORREL(_27,_7)</f>
        <v>0.30990289460419473</v>
      </c>
      <c r="J32" s="15">
        <f ca="1">CORREL(_27,_8)</f>
        <v>0.32495736052668334</v>
      </c>
      <c r="K32" s="15">
        <f ca="1">CORREL(_27,_9)</f>
        <v>0.17828895433068959</v>
      </c>
      <c r="L32" s="15">
        <f ca="1">CORREL(_27,_10)</f>
        <v>0.42908358162259097</v>
      </c>
      <c r="M32" s="15">
        <f ca="1">CORREL(_27,_11)</f>
        <v>0.29732630750608852</v>
      </c>
      <c r="N32" s="15">
        <f ca="1">CORREL(_27,_12)</f>
        <v>0.23127078607711285</v>
      </c>
      <c r="O32" s="15">
        <f ca="1">CORREL(_27,_13)</f>
        <v>6.8171249409468823E-2</v>
      </c>
      <c r="P32" s="15">
        <f ca="1">CORREL(_27,_14)</f>
        <v>0.42634131704495121</v>
      </c>
      <c r="Q32" s="15">
        <f ca="1">CORREL(_27,_15)</f>
        <v>0.19599652482378827</v>
      </c>
      <c r="R32" s="15">
        <f ca="1">CORREL(_27,_16)</f>
        <v>0.37473643537356721</v>
      </c>
      <c r="S32" s="15">
        <f ca="1">CORREL(_27,_17)</f>
        <v>0.20704820750187614</v>
      </c>
      <c r="T32" s="15">
        <f ca="1">CORREL(_27,_18)</f>
        <v>0.34949548336273389</v>
      </c>
      <c r="U32" s="15">
        <f ca="1">CORREL(_27,_19)</f>
        <v>0.43376064834041705</v>
      </c>
      <c r="V32" s="15">
        <f ca="1">CORREL(_27,_20)</f>
        <v>0.34316201082835507</v>
      </c>
      <c r="W32" s="15">
        <f ca="1">CORREL(_27,_21)</f>
        <v>0.35841780301878284</v>
      </c>
      <c r="X32" s="15">
        <f ca="1">CORREL(_27,_22)</f>
        <v>0.41435297469313465</v>
      </c>
      <c r="Y32" s="15">
        <f ca="1">CORREL(_27,_23)</f>
        <v>0.3774336262729161</v>
      </c>
      <c r="Z32" s="15">
        <f ca="1">CORREL(_27,_24)</f>
        <v>0.33467398979027607</v>
      </c>
      <c r="AA32" s="15">
        <f ca="1">CORREL(_27,_25)</f>
        <v>0.52035011478363491</v>
      </c>
      <c r="AB32" s="15">
        <f ca="1">CORREL(_27,_26)</f>
        <v>0.2024542457101785</v>
      </c>
      <c r="AC32" s="15">
        <f ca="1">CORREL(_27,_27)</f>
        <v>1</v>
      </c>
      <c r="AD32" s="15" cm="1">
        <f t="array" aca="1" ref="AD32:AF32" ca="1">TRANSPOSE(AC33:AC35)</f>
        <v>0.26731195980091804</v>
      </c>
      <c r="AE32" s="15">
        <f ca="1"/>
        <v>0.61339384090649463</v>
      </c>
      <c r="AF32" s="15">
        <f ca="1"/>
        <v>0.6579865056431019</v>
      </c>
    </row>
    <row r="33" spans="1:32" x14ac:dyDescent="0.25">
      <c r="A33" s="22" t="s">
        <v>39</v>
      </c>
      <c r="B33" s="30" t="str">
        <f>AD5</f>
        <v>wmt</v>
      </c>
      <c r="C33" s="15">
        <f ca="1">CORREL(_28,_1)</f>
        <v>0.25286867775963706</v>
      </c>
      <c r="D33" s="15">
        <f ca="1">CORREL(_28,_2)</f>
        <v>0.35144372742657137</v>
      </c>
      <c r="E33" s="15">
        <f ca="1">CORREL(_28,_3)</f>
        <v>0.24398675687620008</v>
      </c>
      <c r="F33" s="15">
        <f ca="1">CORREL(_28,_4)</f>
        <v>0.32036157977514168</v>
      </c>
      <c r="G33" s="15">
        <f ca="1">CORREL(_28,_5)</f>
        <v>0.26868869733830208</v>
      </c>
      <c r="H33" s="15">
        <f ca="1">CORREL(_28,_6)</f>
        <v>0.21653935121440784</v>
      </c>
      <c r="I33" s="15">
        <f ca="1">CORREL(_28,_7)</f>
        <v>0.19401622108927119</v>
      </c>
      <c r="J33" s="15">
        <f ca="1">CORREL(_28,_8)</f>
        <v>4.2470308408139597E-2</v>
      </c>
      <c r="K33" s="15">
        <f ca="1">CORREL(_28,_9)</f>
        <v>9.0783018396905169E-2</v>
      </c>
      <c r="L33" s="15">
        <f ca="1">CORREL(_28,_10)</f>
        <v>0.30044665060359788</v>
      </c>
      <c r="M33" s="15">
        <f ca="1">CORREL(_28,_11)</f>
        <v>0.30933931346068749</v>
      </c>
      <c r="N33" s="15">
        <f ca="1">CORREL(_28,_12)</f>
        <v>0.26021534568772764</v>
      </c>
      <c r="O33" s="15">
        <f ca="1">CORREL(_28,_13)</f>
        <v>0.2154984413013411</v>
      </c>
      <c r="P33" s="15">
        <f ca="1">CORREL(_28,_14)</f>
        <v>0.31796550949207103</v>
      </c>
      <c r="Q33" s="15">
        <f ca="1">CORREL(_28,_15)</f>
        <v>-7.1538868028281452E-2</v>
      </c>
      <c r="R33" s="15">
        <f ca="1">CORREL(_28,_16)</f>
        <v>0.24321237523427508</v>
      </c>
      <c r="S33" s="15">
        <f ca="1">CORREL(_28,_17)</f>
        <v>0.27917655410599995</v>
      </c>
      <c r="T33" s="15">
        <f ca="1">CORREL(_28,_18)</f>
        <v>0.34673403809264641</v>
      </c>
      <c r="U33" s="15">
        <f ca="1">CORREL(_28,_19)</f>
        <v>0.37918088063656286</v>
      </c>
      <c r="V33" s="15">
        <f ca="1">CORREL(_28,_20)</f>
        <v>0.22865165575038873</v>
      </c>
      <c r="W33" s="15">
        <f ca="1">CORREL(_28,_21)</f>
        <v>0.29076933896216517</v>
      </c>
      <c r="X33" s="15">
        <f ca="1">CORREL(_28,_22)</f>
        <v>0.14084725167570139</v>
      </c>
      <c r="Y33" s="15">
        <f ca="1">CORREL(_28,_23)</f>
        <v>0.40380862546713242</v>
      </c>
      <c r="Z33" s="15">
        <f ca="1">CORREL(_28,_24)</f>
        <v>9.6563542154497833E-2</v>
      </c>
      <c r="AA33" s="15">
        <f ca="1">CORREL(_28,_25)</f>
        <v>0.30130857375130621</v>
      </c>
      <c r="AB33" s="15">
        <f ca="1">CORREL(_28,_26)</f>
        <v>0.3318657938071391</v>
      </c>
      <c r="AC33" s="15">
        <f ca="1">CORREL(_28,_27)</f>
        <v>0.26731195980091804</v>
      </c>
      <c r="AD33" s="15">
        <f ca="1">CORREL(_28,_28)</f>
        <v>1</v>
      </c>
      <c r="AE33" s="15" cm="1">
        <f t="array" aca="1" ref="AE33:AF33" ca="1">TRANSPOSE(AD34:AD35)</f>
        <v>0.31262714384366569</v>
      </c>
      <c r="AF33" s="15">
        <f ca="1"/>
        <v>0.31278018540615715</v>
      </c>
    </row>
    <row r="34" spans="1:32" x14ac:dyDescent="0.25">
      <c r="A34" s="22" t="s">
        <v>40</v>
      </c>
      <c r="B34" s="30" t="str">
        <f>AE5</f>
        <v>ko</v>
      </c>
      <c r="C34" s="15">
        <f ca="1">CORREL(_29,_1)</f>
        <v>-0.22291300992653404</v>
      </c>
      <c r="D34" s="15">
        <f ca="1">CORREL(_29,_2)</f>
        <v>7.1421390524452746E-2</v>
      </c>
      <c r="E34" s="15">
        <f ca="1">CORREL(_29,_3)</f>
        <v>-6.3532861408876637E-2</v>
      </c>
      <c r="F34" s="15">
        <f ca="1">CORREL(_29,_4)</f>
        <v>-4.2646057963903281E-3</v>
      </c>
      <c r="G34" s="15">
        <f ca="1">CORREL(_29,_5)</f>
        <v>3.4224907141955446E-2</v>
      </c>
      <c r="H34" s="15">
        <f ca="1">CORREL(_29,_6)</f>
        <v>7.3231605816541215E-2</v>
      </c>
      <c r="I34" s="15">
        <f ca="1">CORREL(_29,_7)</f>
        <v>0.162703930702806</v>
      </c>
      <c r="J34" s="15">
        <f ca="1">CORREL(_29,_8)</f>
        <v>0.13001969520859885</v>
      </c>
      <c r="K34" s="15">
        <f ca="1">CORREL(_29,_9)</f>
        <v>0.27162714322986703</v>
      </c>
      <c r="L34" s="15">
        <f ca="1">CORREL(_29,_10)</f>
        <v>0.12816997030902147</v>
      </c>
      <c r="M34" s="15">
        <f ca="1">CORREL(_29,_11)</f>
        <v>0.23481214240276177</v>
      </c>
      <c r="N34" s="15">
        <f ca="1">CORREL(_29,_12)</f>
        <v>0.21751476989646856</v>
      </c>
      <c r="O34" s="15">
        <f ca="1">CORREL(_29,_13)</f>
        <v>1.6201778200092706E-2</v>
      </c>
      <c r="P34" s="15">
        <f ca="1">CORREL(_29,_14)</f>
        <v>0.48675908337503071</v>
      </c>
      <c r="Q34" s="15">
        <f ca="1">CORREL(_29,_15)</f>
        <v>0.21891787095832216</v>
      </c>
      <c r="R34" s="15">
        <f ca="1">CORREL(_29,_16)</f>
        <v>0.15793779630887653</v>
      </c>
      <c r="S34" s="15">
        <f ca="1">CORREL(_29,_17)</f>
        <v>0.33822049776414076</v>
      </c>
      <c r="T34" s="15">
        <f ca="1">CORREL(_29,_18)</f>
        <v>0.24755142348781572</v>
      </c>
      <c r="U34" s="15">
        <f ca="1">CORREL(_29,_19)</f>
        <v>0.2204924798439345</v>
      </c>
      <c r="V34" s="15">
        <f ca="1">CORREL(_29,_20)</f>
        <v>0.17408676055040706</v>
      </c>
      <c r="W34" s="15">
        <f ca="1">CORREL(_29,_21)</f>
        <v>0.30964592954445269</v>
      </c>
      <c r="X34" s="15">
        <f ca="1">CORREL(_29,_22)</f>
        <v>0.35657975379957885</v>
      </c>
      <c r="Y34" s="15">
        <f ca="1">CORREL(_29,_23)</f>
        <v>0.24979187393547175</v>
      </c>
      <c r="Z34" s="15">
        <f ca="1">CORREL(_29,_24)</f>
        <v>0.19659757977873404</v>
      </c>
      <c r="AA34" s="15">
        <f ca="1">CORREL(_29,_25)</f>
        <v>0.52407288263189367</v>
      </c>
      <c r="AB34" s="15">
        <f ca="1">CORREL(_29,_26)</f>
        <v>0.14289933992330472</v>
      </c>
      <c r="AC34" s="15">
        <f ca="1">CORREL(_29,_27)</f>
        <v>0.61339384090649463</v>
      </c>
      <c r="AD34" s="15">
        <f ca="1">CORREL(_29,_28)</f>
        <v>0.31262714384366569</v>
      </c>
      <c r="AE34" s="15">
        <f ca="1">CORREL(_29,_29)</f>
        <v>1</v>
      </c>
      <c r="AF34" s="15">
        <f ca="1">AE35</f>
        <v>0.59942470406262993</v>
      </c>
    </row>
    <row r="35" spans="1:32" x14ac:dyDescent="0.25">
      <c r="A35" s="22" t="s">
        <v>41</v>
      </c>
      <c r="B35" s="30" t="str">
        <f>AF5</f>
        <v>mcd</v>
      </c>
      <c r="C35" s="15">
        <f ca="1">CORREL(_30,_1)</f>
        <v>4.3852415215333965E-2</v>
      </c>
      <c r="D35" s="15">
        <f ca="1">CORREL(_30,_2)</f>
        <v>0.21294808992780082</v>
      </c>
      <c r="E35" s="15">
        <f ca="1">CORREL(_30,_3)</f>
        <v>5.7469719646389895E-2</v>
      </c>
      <c r="F35" s="15">
        <f ca="1">CORREL(_30,_4)</f>
        <v>0.24128633611901165</v>
      </c>
      <c r="G35" s="15">
        <f ca="1">CORREL(_30,_5)</f>
        <v>3.9367468294984172E-2</v>
      </c>
      <c r="H35" s="15">
        <f ca="1">CORREL(_30,_6)</f>
        <v>0.35983384438668375</v>
      </c>
      <c r="I35" s="15">
        <f ca="1">CORREL(_30,_7)</f>
        <v>0.35078389241413255</v>
      </c>
      <c r="J35" s="15">
        <f ca="1">CORREL(_30,_8)</f>
        <v>0.31544650686286324</v>
      </c>
      <c r="K35" s="15">
        <f ca="1">CORREL(_30,_9)</f>
        <v>0.34202099966733607</v>
      </c>
      <c r="L35" s="15">
        <f ca="1">CORREL(_30,_10)</f>
        <v>0.22390285559361536</v>
      </c>
      <c r="M35" s="15">
        <f ca="1">CORREL(_30,_11)</f>
        <v>0.3320464113006476</v>
      </c>
      <c r="N35" s="15">
        <f ca="1">CORREL(_30,_12)</f>
        <v>0.11668289836872547</v>
      </c>
      <c r="O35" s="15">
        <f ca="1">CORREL(_30,_13)</f>
        <v>5.3719214328086497E-2</v>
      </c>
      <c r="P35" s="15">
        <f ca="1">CORREL(_30,_14)</f>
        <v>0.47782825976076493</v>
      </c>
      <c r="Q35" s="15">
        <f ca="1">CORREL(_30,_15)</f>
        <v>0.2362164530260647</v>
      </c>
      <c r="R35" s="15">
        <f ca="1">CORREL(_30,_16)</f>
        <v>0.26036067285609665</v>
      </c>
      <c r="S35" s="15">
        <f ca="1">CORREL(_30,_17)</f>
        <v>0.28814149439610709</v>
      </c>
      <c r="T35" s="15">
        <f ca="1">CORREL(_30,_18)</f>
        <v>0.45102281320934634</v>
      </c>
      <c r="U35" s="15">
        <f ca="1">CORREL(_30,_19)</f>
        <v>0.53746499891582467</v>
      </c>
      <c r="V35" s="15">
        <f ca="1">CORREL(_30,_20)</f>
        <v>0.26561487217859386</v>
      </c>
      <c r="W35" s="15">
        <f ca="1">CORREL(_30,_21)</f>
        <v>0.34663512293040577</v>
      </c>
      <c r="X35" s="15">
        <f ca="1">CORREL(_30,_22)</f>
        <v>0.44785561641767307</v>
      </c>
      <c r="Y35" s="15">
        <f ca="1">CORREL(_30,_23)</f>
        <v>0.32022240027490406</v>
      </c>
      <c r="Z35" s="15">
        <f ca="1">CORREL(_30,_24)</f>
        <v>0.24292123494112791</v>
      </c>
      <c r="AA35" s="15">
        <f ca="1">CORREL(_30,_25)</f>
        <v>0.62151968984695527</v>
      </c>
      <c r="AB35" s="15">
        <f ca="1">CORREL(_30,_26)</f>
        <v>0.20013650495402796</v>
      </c>
      <c r="AC35" s="15">
        <f ca="1">CORREL(_30,_27)</f>
        <v>0.6579865056431019</v>
      </c>
      <c r="AD35" s="15">
        <f ca="1">CORREL(_30,_28)</f>
        <v>0.31278018540615715</v>
      </c>
      <c r="AE35" s="15">
        <f ca="1">CORREL(_30,_29)</f>
        <v>0.59942470406262993</v>
      </c>
      <c r="AF35" s="15">
        <f ca="1">CORREL(_30,_30)</f>
        <v>0.99999999999999978</v>
      </c>
    </row>
    <row r="36" spans="1:32" x14ac:dyDescent="0.25">
      <c r="A36" s="22"/>
      <c r="B36" s="22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</row>
    <row r="37" spans="1:32" x14ac:dyDescent="0.25">
      <c r="A37" s="22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</row>
    <row r="38" spans="1:32" x14ac:dyDescent="0.25">
      <c r="A38" s="22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</row>
    <row r="39" spans="1:32" x14ac:dyDescent="0.25">
      <c r="A39" s="22"/>
      <c r="B39" s="44" t="s">
        <v>47</v>
      </c>
      <c r="C39" s="44"/>
      <c r="D39" s="31"/>
      <c r="E39" s="28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</row>
    <row r="40" spans="1:32" x14ac:dyDescent="0.25">
      <c r="A40" s="22"/>
      <c r="B40" s="25">
        <f ca="1">'Returns &amp; Stand Dev'!C66</f>
        <v>0.17077040558825721</v>
      </c>
      <c r="C40" s="25">
        <f ca="1">'Returns &amp; Stand Dev'!$BK$66</f>
        <v>4.4221881539358673E-2</v>
      </c>
      <c r="D40" s="31"/>
      <c r="E40" s="32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</row>
    <row r="41" spans="1:32" x14ac:dyDescent="0.25">
      <c r="A41" s="22"/>
      <c r="B41" s="25">
        <f ca="1">'Returns &amp; Stand Dev'!E66</f>
        <v>0.1506545823853192</v>
      </c>
      <c r="C41" s="25">
        <f ca="1">'Returns &amp; Stand Dev'!$BK$66</f>
        <v>4.4221881539358673E-2</v>
      </c>
      <c r="D41" s="31"/>
      <c r="E41" s="32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2" x14ac:dyDescent="0.25">
      <c r="A42" s="22"/>
      <c r="B42" s="25">
        <f ca="1">'Returns &amp; Stand Dev'!G66</f>
        <v>0.14315802302812619</v>
      </c>
      <c r="C42" s="25">
        <f ca="1">'Returns &amp; Stand Dev'!$BK$66</f>
        <v>4.4221881539358673E-2</v>
      </c>
      <c r="D42" s="31"/>
      <c r="E42" s="32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2" x14ac:dyDescent="0.25">
      <c r="A43" s="22"/>
      <c r="B43" s="25">
        <f ca="1">'Returns &amp; Stand Dev'!I66</f>
        <v>0.1292143486068118</v>
      </c>
      <c r="C43" s="25">
        <f ca="1">'Returns &amp; Stand Dev'!$BK$66</f>
        <v>4.4221881539358673E-2</v>
      </c>
      <c r="D43" s="31"/>
      <c r="E43" s="32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</row>
    <row r="44" spans="1:32" x14ac:dyDescent="0.25">
      <c r="A44" s="22"/>
      <c r="B44" s="25">
        <f ca="1">'Returns &amp; Stand Dev'!K66</f>
        <v>0.12214917344035947</v>
      </c>
      <c r="C44" s="25">
        <f ca="1">'Returns &amp; Stand Dev'!$BK$66</f>
        <v>4.4221881539358673E-2</v>
      </c>
      <c r="D44" s="31"/>
      <c r="E44" s="32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</row>
    <row r="45" spans="1:32" x14ac:dyDescent="0.25">
      <c r="A45" s="22"/>
      <c r="B45" s="25">
        <f ca="1">'Returns &amp; Stand Dev'!M66</f>
        <v>0.11683812283605026</v>
      </c>
      <c r="C45" s="25">
        <f ca="1">'Returns &amp; Stand Dev'!$BK$66</f>
        <v>4.4221881539358673E-2</v>
      </c>
      <c r="D45" s="31"/>
      <c r="E45" s="32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</row>
    <row r="46" spans="1:32" x14ac:dyDescent="0.25">
      <c r="A46" s="22"/>
      <c r="B46" s="25">
        <f ca="1">'Returns &amp; Stand Dev'!O66</f>
        <v>0.11502015591775967</v>
      </c>
      <c r="C46" s="25">
        <f ca="1">'Returns &amp; Stand Dev'!$BK$66</f>
        <v>4.4221881539358673E-2</v>
      </c>
      <c r="D46" s="31"/>
      <c r="E46" s="32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</row>
    <row r="47" spans="1:32" x14ac:dyDescent="0.25">
      <c r="A47" s="22"/>
      <c r="B47" s="25">
        <f ca="1">'Returns &amp; Stand Dev'!Q66</f>
        <v>0.10922667400500832</v>
      </c>
      <c r="C47" s="25">
        <f ca="1">'Returns &amp; Stand Dev'!$BK$66</f>
        <v>4.4221881539358673E-2</v>
      </c>
      <c r="D47" s="31"/>
      <c r="E47" s="32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</row>
    <row r="48" spans="1:32" x14ac:dyDescent="0.25">
      <c r="A48" s="22"/>
      <c r="B48" s="25">
        <f ca="1">'Returns &amp; Stand Dev'!S66</f>
        <v>0.10326285050054611</v>
      </c>
      <c r="C48" s="25">
        <f ca="1">'Returns &amp; Stand Dev'!$BK$66</f>
        <v>4.4221881539358673E-2</v>
      </c>
      <c r="D48" s="31"/>
      <c r="E48" s="32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</row>
    <row r="49" spans="1:32" x14ac:dyDescent="0.25">
      <c r="A49" s="22"/>
      <c r="B49" s="25">
        <f ca="1">'Returns &amp; Stand Dev'!U66</f>
        <v>9.5129449505817976E-2</v>
      </c>
      <c r="C49" s="25">
        <f ca="1">'Returns &amp; Stand Dev'!$BK$66</f>
        <v>4.4221881539358673E-2</v>
      </c>
      <c r="D49" s="31"/>
      <c r="E49" s="32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</row>
    <row r="50" spans="1:32" x14ac:dyDescent="0.25">
      <c r="A50" s="22"/>
      <c r="B50" s="25">
        <f ca="1">'Returns &amp; Stand Dev'!W66</f>
        <v>9.5097323487641841E-2</v>
      </c>
      <c r="C50" s="25">
        <f ca="1">'Returns &amp; Stand Dev'!$BK$66</f>
        <v>4.4221881539358673E-2</v>
      </c>
      <c r="D50" s="31"/>
      <c r="E50" s="32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</row>
    <row r="51" spans="1:32" x14ac:dyDescent="0.25">
      <c r="A51" s="22"/>
      <c r="B51" s="25">
        <f ca="1">'Returns &amp; Stand Dev'!Y66</f>
        <v>9.2191723209240448E-2</v>
      </c>
      <c r="C51" s="25">
        <f ca="1">'Returns &amp; Stand Dev'!$BK$66</f>
        <v>4.4221881539358673E-2</v>
      </c>
      <c r="D51" s="31"/>
      <c r="E51" s="32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</row>
    <row r="52" spans="1:32" x14ac:dyDescent="0.25">
      <c r="A52" s="22"/>
      <c r="B52" s="25">
        <f ca="1">'Returns &amp; Stand Dev'!AA66</f>
        <v>8.0672372413901447E-2</v>
      </c>
      <c r="C52" s="25">
        <f ca="1">'Returns &amp; Stand Dev'!$BK$66</f>
        <v>4.4221881539358673E-2</v>
      </c>
      <c r="D52" s="31"/>
      <c r="E52" s="32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</row>
    <row r="53" spans="1:32" x14ac:dyDescent="0.25">
      <c r="A53" s="22"/>
      <c r="B53" s="25">
        <f ca="1">'Returns &amp; Stand Dev'!AC66</f>
        <v>7.8448139717499019E-2</v>
      </c>
      <c r="C53" s="25">
        <f ca="1">'Returns &amp; Stand Dev'!$BK$66</f>
        <v>4.4221881539358673E-2</v>
      </c>
      <c r="D53" s="31"/>
      <c r="E53" s="32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</row>
    <row r="54" spans="1:32" x14ac:dyDescent="0.25">
      <c r="A54" s="22"/>
      <c r="B54" s="25">
        <f ca="1">'Returns &amp; Stand Dev'!AE66</f>
        <v>7.4722277843304694E-2</v>
      </c>
      <c r="C54" s="25">
        <f ca="1">'Returns &amp; Stand Dev'!$BK$66</f>
        <v>4.4221881539358673E-2</v>
      </c>
      <c r="D54" s="31"/>
      <c r="E54" s="32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</row>
    <row r="55" spans="1:32" x14ac:dyDescent="0.25">
      <c r="A55" s="22"/>
      <c r="B55" s="25">
        <f ca="1">'Returns &amp; Stand Dev'!AG66</f>
        <v>7.4049933212371147E-2</v>
      </c>
      <c r="C55" s="25">
        <f ca="1">'Returns &amp; Stand Dev'!$BK$66</f>
        <v>4.4221881539358673E-2</v>
      </c>
      <c r="D55" s="31"/>
      <c r="E55" s="32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</row>
    <row r="56" spans="1:32" x14ac:dyDescent="0.25">
      <c r="A56" s="22"/>
      <c r="B56" s="25">
        <f ca="1">'Returns &amp; Stand Dev'!AI66</f>
        <v>7.0748332719404478E-2</v>
      </c>
      <c r="C56" s="25">
        <f ca="1">'Returns &amp; Stand Dev'!$BK$66</f>
        <v>4.4221881539358673E-2</v>
      </c>
      <c r="D56" s="31"/>
      <c r="E56" s="32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</row>
    <row r="57" spans="1:32" x14ac:dyDescent="0.25">
      <c r="A57" s="22"/>
      <c r="B57" s="25">
        <f ca="1">'Returns &amp; Stand Dev'!AK66</f>
        <v>7.0730697105764517E-2</v>
      </c>
      <c r="C57" s="25">
        <f ca="1">'Returns &amp; Stand Dev'!$BK$66</f>
        <v>4.4221881539358673E-2</v>
      </c>
      <c r="D57" s="31"/>
      <c r="E57" s="32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</row>
    <row r="58" spans="1:32" x14ac:dyDescent="0.25">
      <c r="A58" s="22"/>
      <c r="B58" s="25">
        <f ca="1">'Returns &amp; Stand Dev'!AM66</f>
        <v>6.8746960145942462E-2</v>
      </c>
      <c r="C58" s="25">
        <f ca="1">'Returns &amp; Stand Dev'!$BK$66</f>
        <v>4.4221881539358673E-2</v>
      </c>
      <c r="D58" s="31"/>
      <c r="E58" s="32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</row>
    <row r="59" spans="1:32" x14ac:dyDescent="0.25">
      <c r="A59" s="22"/>
      <c r="B59" s="25">
        <f ca="1">'Returns &amp; Stand Dev'!AO66</f>
        <v>6.8152751434408285E-2</v>
      </c>
      <c r="C59" s="25">
        <f ca="1">'Returns &amp; Stand Dev'!$BK$66</f>
        <v>4.4221881539358673E-2</v>
      </c>
      <c r="D59" s="31"/>
      <c r="E59" s="32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</row>
    <row r="60" spans="1:32" x14ac:dyDescent="0.25">
      <c r="A60" s="22"/>
      <c r="B60" s="25">
        <f ca="1">'Returns &amp; Stand Dev'!AQ66</f>
        <v>6.7650466844591528E-2</v>
      </c>
      <c r="C60" s="25">
        <f ca="1">'Returns &amp; Stand Dev'!$BK$66</f>
        <v>4.4221881539358673E-2</v>
      </c>
      <c r="D60" s="31"/>
      <c r="E60" s="32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</row>
    <row r="61" spans="1:32" x14ac:dyDescent="0.25">
      <c r="A61" s="22"/>
      <c r="B61" s="25">
        <f ca="1">'Returns &amp; Stand Dev'!AS66</f>
        <v>6.6980249597340932E-2</v>
      </c>
      <c r="C61" s="25">
        <f ca="1">'Returns &amp; Stand Dev'!$BK$66</f>
        <v>4.4221881539358673E-2</v>
      </c>
      <c r="D61" s="31"/>
      <c r="E61" s="32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</row>
    <row r="62" spans="1:32" x14ac:dyDescent="0.25">
      <c r="A62" s="22"/>
      <c r="B62" s="25">
        <f ca="1">'Returns &amp; Stand Dev'!AU66</f>
        <v>6.6881927031804358E-2</v>
      </c>
      <c r="C62" s="25">
        <f ca="1">'Returns &amp; Stand Dev'!$BK$66</f>
        <v>4.4221881539358673E-2</v>
      </c>
      <c r="D62" s="31"/>
      <c r="E62" s="32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</row>
    <row r="63" spans="1:32" x14ac:dyDescent="0.25">
      <c r="A63" s="22"/>
      <c r="B63" s="25">
        <f ca="1">'Returns &amp; Stand Dev'!AW66</f>
        <v>6.6295487941508413E-2</v>
      </c>
      <c r="C63" s="25">
        <f ca="1">'Returns &amp; Stand Dev'!$BK$66</f>
        <v>4.4221881539358673E-2</v>
      </c>
      <c r="D63" s="31"/>
      <c r="E63" s="32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</row>
    <row r="64" spans="1:32" x14ac:dyDescent="0.25">
      <c r="A64" s="22"/>
      <c r="B64" s="25">
        <f ca="1">'Returns &amp; Stand Dev'!AY66</f>
        <v>6.3096911879154741E-2</v>
      </c>
      <c r="C64" s="25">
        <f ca="1">'Returns &amp; Stand Dev'!$BK$66</f>
        <v>4.4221881539358673E-2</v>
      </c>
      <c r="D64" s="31"/>
      <c r="E64" s="32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</row>
    <row r="65" spans="1:32" x14ac:dyDescent="0.25">
      <c r="A65" s="22"/>
      <c r="B65" s="25">
        <f ca="1">'Returns &amp; Stand Dev'!BA66</f>
        <v>6.292530231379799E-2</v>
      </c>
      <c r="C65" s="25">
        <f ca="1">'Returns &amp; Stand Dev'!$BK$66</f>
        <v>4.4221881539358673E-2</v>
      </c>
      <c r="D65" s="31"/>
      <c r="E65" s="32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</row>
    <row r="66" spans="1:32" x14ac:dyDescent="0.25">
      <c r="A66" s="22"/>
      <c r="B66" s="25">
        <f ca="1">'Returns &amp; Stand Dev'!BC66</f>
        <v>6.0428038733504719E-2</v>
      </c>
      <c r="C66" s="25">
        <f ca="1">'Returns &amp; Stand Dev'!$BK$66</f>
        <v>4.4221881539358673E-2</v>
      </c>
      <c r="D66" s="31"/>
      <c r="E66" s="32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spans="1:32" x14ac:dyDescent="0.25">
      <c r="A67" s="22"/>
      <c r="B67" s="25">
        <f ca="1">'Returns &amp; Stand Dev'!BE66</f>
        <v>5.7318654500360104E-2</v>
      </c>
      <c r="C67" s="25">
        <f ca="1">'Returns &amp; Stand Dev'!$BK$66</f>
        <v>4.4221881539358673E-2</v>
      </c>
      <c r="D67" s="31"/>
      <c r="E67" s="32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spans="1:32" x14ac:dyDescent="0.25">
      <c r="A68" s="22"/>
      <c r="B68" s="25">
        <f ca="1">'Returns &amp; Stand Dev'!BG66</f>
        <v>4.9227895421741157E-2</v>
      </c>
      <c r="C68" s="25">
        <f ca="1">'Returns &amp; Stand Dev'!$BK$66</f>
        <v>4.4221881539358673E-2</v>
      </c>
      <c r="D68" s="31"/>
      <c r="E68" s="32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</row>
    <row r="69" spans="1:32" x14ac:dyDescent="0.25">
      <c r="A69" s="22"/>
      <c r="B69" s="25">
        <f ca="1">'Returns &amp; Stand Dev'!BI66</f>
        <v>4.6852084961873763E-2</v>
      </c>
      <c r="C69" s="25">
        <f ca="1">'Returns &amp; Stand Dev'!$BK$66</f>
        <v>4.4221881539358673E-2</v>
      </c>
      <c r="D69" s="15"/>
      <c r="E69" s="32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</row>
  </sheetData>
  <mergeCells count="1">
    <mergeCell ref="B39:C3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D2F84-7BFA-4C74-8041-B8E49AC9EB12}">
  <dimension ref="A1:AE67"/>
  <sheetViews>
    <sheetView workbookViewId="0">
      <selection activeCell="B10" sqref="B10"/>
    </sheetView>
  </sheetViews>
  <sheetFormatPr defaultColWidth="9" defaultRowHeight="15.75" x14ac:dyDescent="0.25"/>
  <cols>
    <col min="1" max="1" width="7.75" style="1" customWidth="1"/>
    <col min="2" max="2" width="6.75" style="1" bestFit="1" customWidth="1"/>
    <col min="3" max="3" width="5.75" style="1" customWidth="1"/>
    <col min="4" max="4" width="5.0625" style="1" bestFit="1" customWidth="1"/>
    <col min="5" max="5" width="5.25" style="1" customWidth="1"/>
    <col min="6" max="6" width="5.125" style="1" bestFit="1" customWidth="1"/>
    <col min="7" max="7" width="5.0625" style="1" bestFit="1" customWidth="1"/>
    <col min="8" max="8" width="5.25" style="1" customWidth="1"/>
    <col min="9" max="9" width="5.0625" style="1" bestFit="1" customWidth="1"/>
    <col min="10" max="10" width="5.25" style="1" customWidth="1"/>
    <col min="11" max="12" width="5.0625" style="1" bestFit="1" customWidth="1"/>
    <col min="13" max="14" width="5.3125" style="1" customWidth="1"/>
    <col min="15" max="15" width="5.0625" style="1" bestFit="1" customWidth="1"/>
    <col min="16" max="16" width="5.4375" style="1" customWidth="1"/>
    <col min="17" max="19" width="4.75" style="1" bestFit="1" customWidth="1"/>
    <col min="20" max="20" width="5.3125" style="1" customWidth="1"/>
    <col min="21" max="21" width="5.0625" style="1" bestFit="1" customWidth="1"/>
    <col min="22" max="22" width="4.75" style="1" bestFit="1" customWidth="1"/>
    <col min="23" max="23" width="5.25" style="1" customWidth="1"/>
    <col min="24" max="24" width="4.75" style="1" bestFit="1" customWidth="1"/>
    <col min="25" max="25" width="5.4375" style="1" customWidth="1"/>
    <col min="26" max="26" width="5.0625" style="1" bestFit="1" customWidth="1"/>
    <col min="27" max="27" width="5.375" style="1" customWidth="1"/>
    <col min="28" max="28" width="4.75" style="1" bestFit="1" customWidth="1"/>
    <col min="29" max="29" width="5.5625" style="1" customWidth="1"/>
    <col min="30" max="31" width="4.75" style="1" bestFit="1" customWidth="1"/>
    <col min="32" max="16384" width="9" style="1"/>
  </cols>
  <sheetData>
    <row r="1" spans="1:31" x14ac:dyDescent="0.2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</row>
    <row r="2" spans="1:31" x14ac:dyDescent="0.25">
      <c r="A2" s="28" t="s">
        <v>48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</row>
    <row r="3" spans="1:31" ht="16.5" thickBot="1" x14ac:dyDescent="0.3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</row>
    <row r="4" spans="1:31" x14ac:dyDescent="0.25">
      <c r="A4" s="39"/>
      <c r="B4" s="34" t="str" cm="1">
        <f t="array" ref="B4:AE4">TRANSPOSE(A5:A34)</f>
        <v>tsla</v>
      </c>
      <c r="C4" s="34" t="str">
        <v>rcl</v>
      </c>
      <c r="D4" s="34" t="str">
        <v>nvda</v>
      </c>
      <c r="E4" s="34" t="str">
        <v>ual</v>
      </c>
      <c r="F4" s="34" t="str">
        <v>meta</v>
      </c>
      <c r="G4" s="34" t="str">
        <v>f</v>
      </c>
      <c r="H4" s="34" t="str">
        <v>hog</v>
      </c>
      <c r="I4" s="34" t="str">
        <v>pzza</v>
      </c>
      <c r="J4" s="34" t="str">
        <v>ba</v>
      </c>
      <c r="K4" s="34" t="str">
        <v>cmg</v>
      </c>
      <c r="L4" s="34" t="str">
        <v>cat</v>
      </c>
      <c r="M4" s="34" t="str">
        <v>lly</v>
      </c>
      <c r="N4" s="34" t="str">
        <v>googl</v>
      </c>
      <c r="O4" s="34" t="str">
        <v>mmm</v>
      </c>
      <c r="P4" s="34" t="str">
        <v>xom</v>
      </c>
      <c r="Q4" s="34" t="str">
        <v>grmn</v>
      </c>
      <c r="R4" s="34" t="str">
        <v>ibm</v>
      </c>
      <c r="S4" s="34" t="str">
        <v>aapl</v>
      </c>
      <c r="T4" s="34" t="str">
        <v>hd</v>
      </c>
      <c r="U4" s="34" t="str">
        <v>jpm</v>
      </c>
      <c r="V4" s="34" t="str">
        <v>pru</v>
      </c>
      <c r="W4" s="34" t="str">
        <v>t</v>
      </c>
      <c r="X4" s="34" t="str">
        <v>kr</v>
      </c>
      <c r="Y4" s="34" t="str">
        <v>pfe</v>
      </c>
      <c r="Z4" s="34" t="str">
        <v>ma</v>
      </c>
      <c r="AA4" s="34" t="str">
        <v>msft</v>
      </c>
      <c r="AB4" s="34" t="str">
        <v>yum</v>
      </c>
      <c r="AC4" s="34" t="str">
        <v>wmt</v>
      </c>
      <c r="AD4" s="34" t="str">
        <v>ko</v>
      </c>
      <c r="AE4" s="34" t="str">
        <v>mcd</v>
      </c>
    </row>
    <row r="5" spans="1:31" x14ac:dyDescent="0.25">
      <c r="A5" s="30" t="str">
        <f>'Corr. Matrix'!B6</f>
        <v>tsla</v>
      </c>
      <c r="B5" s="35">
        <f ca="1">'Corr. Matrix'!B40*'Corr. Matrix'!B$40*'Corr. Matrix'!C6</f>
        <v>2.9162531424777868E-2</v>
      </c>
      <c r="C5" s="35" cm="1">
        <f t="array" aca="1" ref="C5:AE5" ca="1">TRANSPOSE(B6:B34)</f>
        <v>6.8050210261028574E-3</v>
      </c>
      <c r="D5" s="35">
        <f ca="1"/>
        <v>9.7055355708313296E-3</v>
      </c>
      <c r="E5" s="35">
        <f ca="1"/>
        <v>6.2219875569027375E-3</v>
      </c>
      <c r="F5" s="35">
        <f ca="1"/>
        <v>4.2128469336132702E-3</v>
      </c>
      <c r="G5" s="35">
        <f ca="1"/>
        <v>6.8213929072019775E-3</v>
      </c>
      <c r="H5" s="35">
        <f ca="1"/>
        <v>4.6738042091277352E-3</v>
      </c>
      <c r="I5" s="35">
        <f ca="1"/>
        <v>3.8377047494700094E-3</v>
      </c>
      <c r="J5" s="35">
        <f ca="1"/>
        <v>2.5071469824619434E-3</v>
      </c>
      <c r="K5" s="35">
        <f ca="1"/>
        <v>3.6409831303046356E-3</v>
      </c>
      <c r="L5" s="35">
        <f ca="1"/>
        <v>3.7506386774402733E-3</v>
      </c>
      <c r="M5" s="35">
        <f ca="1"/>
        <v>-1.6743838157717264E-3</v>
      </c>
      <c r="N5" s="35">
        <f ca="1"/>
        <v>6.0537179665440775E-3</v>
      </c>
      <c r="O5" s="35">
        <f ca="1"/>
        <v>2.486742788395893E-3</v>
      </c>
      <c r="P5" s="35">
        <f ca="1"/>
        <v>-1.6521662254375268E-3</v>
      </c>
      <c r="Q5" s="35">
        <f ca="1"/>
        <v>1.8697567541810702E-3</v>
      </c>
      <c r="R5" s="35">
        <f ca="1"/>
        <v>4.3439849127838032E-5</v>
      </c>
      <c r="S5" s="35">
        <f ca="1"/>
        <v>6.6741254540617157E-3</v>
      </c>
      <c r="T5" s="35">
        <f ca="1"/>
        <v>3.3737315992634397E-3</v>
      </c>
      <c r="U5" s="35">
        <f ca="1"/>
        <v>1.6360103405854635E-3</v>
      </c>
      <c r="V5" s="35">
        <f ca="1"/>
        <v>1.3887162588149518E-3</v>
      </c>
      <c r="W5" s="35">
        <f ca="1"/>
        <v>-2.136645726552385E-3</v>
      </c>
      <c r="X5" s="35">
        <f ca="1"/>
        <v>1.3690399420245576E-3</v>
      </c>
      <c r="Y5" s="35">
        <f ca="1"/>
        <v>-3.7049428026425925E-4</v>
      </c>
      <c r="Z5" s="35">
        <f ca="1"/>
        <v>6.4507200095015175E-4</v>
      </c>
      <c r="AA5" s="35">
        <f ca="1"/>
        <v>4.2825501581627663E-3</v>
      </c>
      <c r="AB5" s="35">
        <f ca="1"/>
        <v>-6.2172665365618556E-4</v>
      </c>
      <c r="AC5" s="35">
        <f ca="1"/>
        <v>2.475162033421486E-3</v>
      </c>
      <c r="AD5" s="35">
        <f ca="1"/>
        <v>-1.8739555931982382E-3</v>
      </c>
      <c r="AE5" s="35">
        <f ca="1"/>
        <v>3.5086096185346952E-4</v>
      </c>
    </row>
    <row r="6" spans="1:31" x14ac:dyDescent="0.25">
      <c r="A6" s="30" t="str">
        <f>'Corr. Matrix'!B7</f>
        <v>rcl</v>
      </c>
      <c r="B6" s="35">
        <f ca="1">'Corr. Matrix'!B41*'Corr. Matrix'!B$40*'Corr. Matrix'!C7</f>
        <v>6.8050210261028574E-3</v>
      </c>
      <c r="C6" s="35">
        <f ca="1">'Corr. Matrix'!B$41*'Corr. Matrix'!B41*'Corr. Matrix'!D7</f>
        <v>2.2696803193694926E-2</v>
      </c>
      <c r="D6" s="35" cm="1">
        <f t="array" aca="1" ref="D6:AE6" ca="1">TRANSPOSE(C7:C34)</f>
        <v>8.4740165950635167E-3</v>
      </c>
      <c r="E6" s="35">
        <f ca="1"/>
        <v>1.5036001844613322E-2</v>
      </c>
      <c r="F6" s="35">
        <f ca="1"/>
        <v>4.2893877522728269E-3</v>
      </c>
      <c r="G6" s="35">
        <f ca="1"/>
        <v>7.7353204818762667E-3</v>
      </c>
      <c r="H6" s="35">
        <f ca="1"/>
        <v>6.0849808736608028E-3</v>
      </c>
      <c r="I6" s="35">
        <f ca="1"/>
        <v>3.0935865837798966E-3</v>
      </c>
      <c r="J6" s="35">
        <f ca="1"/>
        <v>6.2134376592284015E-3</v>
      </c>
      <c r="K6" s="35">
        <f ca="1"/>
        <v>3.8103919432866669E-3</v>
      </c>
      <c r="L6" s="35">
        <f ca="1"/>
        <v>7.2139761286393947E-3</v>
      </c>
      <c r="M6" s="35">
        <f ca="1"/>
        <v>-2.1557915804284625E-3</v>
      </c>
      <c r="N6" s="35">
        <f ca="1"/>
        <v>3.3085423265517247E-3</v>
      </c>
      <c r="O6" s="35">
        <f ca="1"/>
        <v>3.719352058411209E-3</v>
      </c>
      <c r="P6" s="35">
        <f ca="1"/>
        <v>2.6395588782281588E-3</v>
      </c>
      <c r="Q6" s="35">
        <f ca="1"/>
        <v>5.2201897326702917E-3</v>
      </c>
      <c r="R6" s="35">
        <f ca="1"/>
        <v>2.1718657214892163E-3</v>
      </c>
      <c r="S6" s="35">
        <f ca="1"/>
        <v>2.6749429441867284E-3</v>
      </c>
      <c r="T6" s="35">
        <f ca="1"/>
        <v>2.9690526120128508E-3</v>
      </c>
      <c r="U6" s="35">
        <f ca="1"/>
        <v>6.5287481755497718E-3</v>
      </c>
      <c r="V6" s="35">
        <f ca="1"/>
        <v>5.8061905102108754E-3</v>
      </c>
      <c r="W6" s="35">
        <f ca="1"/>
        <v>1.7693959443762619E-3</v>
      </c>
      <c r="X6" s="35">
        <f ca="1"/>
        <v>1.1781741506588024E-3</v>
      </c>
      <c r="Y6" s="35">
        <f ca="1"/>
        <v>-1.9439616349316373E-3</v>
      </c>
      <c r="Z6" s="35">
        <f ca="1"/>
        <v>5.0557566321075137E-3</v>
      </c>
      <c r="AA6" s="35">
        <f ca="1"/>
        <v>2.3895420314375242E-3</v>
      </c>
      <c r="AB6" s="35">
        <f ca="1"/>
        <v>1.413503925118999E-3</v>
      </c>
      <c r="AC6" s="35">
        <f ca="1"/>
        <v>3.0348283301952178E-3</v>
      </c>
      <c r="AD6" s="35">
        <f ca="1"/>
        <v>5.2969017394724125E-4</v>
      </c>
      <c r="AE6" s="35">
        <f ca="1"/>
        <v>1.5030901093085022E-3</v>
      </c>
    </row>
    <row r="7" spans="1:31" x14ac:dyDescent="0.25">
      <c r="A7" s="30" t="str">
        <f>'Corr. Matrix'!B8</f>
        <v>nvda</v>
      </c>
      <c r="B7" s="35">
        <f ca="1">'Corr. Matrix'!B42*'Corr. Matrix'!B$40*'Corr. Matrix'!C8</f>
        <v>9.7055355708313296E-3</v>
      </c>
      <c r="C7" s="35">
        <f ca="1">'Corr. Matrix'!B$41*'Corr. Matrix'!B42*'Corr. Matrix'!D8</f>
        <v>8.4740165950635167E-3</v>
      </c>
      <c r="D7" s="35">
        <f ca="1">'Corr. Matrix'!B$42*'Corr. Matrix'!B42*'Corr. Matrix'!E8</f>
        <v>2.0494219557321513E-2</v>
      </c>
      <c r="E7" s="35" cm="1">
        <f t="array" aca="1" ref="E7:AE7" ca="1">TRANSPOSE(D8:D34)</f>
        <v>5.3339346483031996E-3</v>
      </c>
      <c r="F7" s="35">
        <f ca="1"/>
        <v>8.2056389908902808E-3</v>
      </c>
      <c r="G7" s="35">
        <f ca="1"/>
        <v>7.5268252714689125E-3</v>
      </c>
      <c r="H7" s="35">
        <f ca="1"/>
        <v>4.3384663278498974E-3</v>
      </c>
      <c r="I7" s="35">
        <f ca="1"/>
        <v>4.7979648524915106E-3</v>
      </c>
      <c r="J7" s="35">
        <f ca="1"/>
        <v>4.6890299441552522E-3</v>
      </c>
      <c r="K7" s="35">
        <f ca="1"/>
        <v>3.9530886332171207E-3</v>
      </c>
      <c r="L7" s="35">
        <f ca="1"/>
        <v>5.2857860956673141E-3</v>
      </c>
      <c r="M7" s="35">
        <f ca="1"/>
        <v>1.5757606298971746E-3</v>
      </c>
      <c r="N7" s="35">
        <f ca="1"/>
        <v>5.9796110913006642E-3</v>
      </c>
      <c r="O7" s="35">
        <f ca="1"/>
        <v>1.5953331259738032E-3</v>
      </c>
      <c r="P7" s="35">
        <f ca="1"/>
        <v>-7.8912554510550601E-5</v>
      </c>
      <c r="Q7" s="35">
        <f ca="1"/>
        <v>4.7927046323129798E-3</v>
      </c>
      <c r="R7" s="35">
        <f ca="1"/>
        <v>6.7463772616628765E-4</v>
      </c>
      <c r="S7" s="35">
        <f ca="1"/>
        <v>5.1979458039664878E-3</v>
      </c>
      <c r="T7" s="35">
        <f ca="1"/>
        <v>3.3456554044879109E-3</v>
      </c>
      <c r="U7" s="35">
        <f ca="1"/>
        <v>3.9897257238345994E-3</v>
      </c>
      <c r="V7" s="35">
        <f ca="1"/>
        <v>2.3457739838365359E-3</v>
      </c>
      <c r="W7" s="35">
        <f ca="1"/>
        <v>-5.4662602086713228E-4</v>
      </c>
      <c r="X7" s="35">
        <f ca="1"/>
        <v>1.9339153241041374E-3</v>
      </c>
      <c r="Y7" s="35">
        <f ca="1"/>
        <v>1.8558464711050542E-3</v>
      </c>
      <c r="Z7" s="35">
        <f ca="1"/>
        <v>1.9645257513412435E-3</v>
      </c>
      <c r="AA7" s="35">
        <f ca="1"/>
        <v>6.489017141907384E-3</v>
      </c>
      <c r="AB7" s="35">
        <f ca="1"/>
        <v>1.0948196326124892E-3</v>
      </c>
      <c r="AC7" s="35">
        <f ca="1"/>
        <v>2.0020638955493318E-3</v>
      </c>
      <c r="AD7" s="35">
        <f ca="1"/>
        <v>-4.4773946628462772E-4</v>
      </c>
      <c r="AE7" s="35">
        <f ca="1"/>
        <v>3.8546388387053097E-4</v>
      </c>
    </row>
    <row r="8" spans="1:31" x14ac:dyDescent="0.25">
      <c r="A8" s="30" t="str">
        <f>'Corr. Matrix'!B9</f>
        <v>ual</v>
      </c>
      <c r="B8" s="35">
        <f ca="1">'Corr. Matrix'!B43*'Corr. Matrix'!B$40*'Corr. Matrix'!C9</f>
        <v>6.2219875569027375E-3</v>
      </c>
      <c r="C8" s="35">
        <f ca="1">'Corr. Matrix'!B$41*'Corr. Matrix'!B43*'Corr. Matrix'!D9</f>
        <v>1.5036001844613322E-2</v>
      </c>
      <c r="D8" s="35">
        <f ca="1">'Corr. Matrix'!B$42*'Corr. Matrix'!B43*'Corr. Matrix'!E9</f>
        <v>5.3339346483031996E-3</v>
      </c>
      <c r="E8" s="35">
        <f ca="1">'Corr. Matrix'!B$43*'Corr. Matrix'!B43*'Corr. Matrix'!F9</f>
        <v>1.6696347885882687E-2</v>
      </c>
      <c r="F8" s="35" cm="1">
        <f t="array" aca="1" ref="F8:AE8" ca="1">TRANSPOSE(E9:E34)</f>
        <v>2.1521950813643098E-3</v>
      </c>
      <c r="G8" s="35">
        <f ca="1"/>
        <v>5.3090064548568005E-3</v>
      </c>
      <c r="H8" s="35">
        <f ca="1"/>
        <v>4.570773878935599E-3</v>
      </c>
      <c r="I8" s="35">
        <f ca="1"/>
        <v>1.5257253280289188E-3</v>
      </c>
      <c r="J8" s="35">
        <f ca="1"/>
        <v>3.3225946694449421E-3</v>
      </c>
      <c r="K8" s="35">
        <f ca="1"/>
        <v>1.7209084803323233E-3</v>
      </c>
      <c r="L8" s="35">
        <f ca="1"/>
        <v>6.1987603346393451E-3</v>
      </c>
      <c r="M8" s="35">
        <f ca="1"/>
        <v>-1.9591088561654729E-3</v>
      </c>
      <c r="N8" s="35">
        <f ca="1"/>
        <v>2.7944086372532805E-3</v>
      </c>
      <c r="O8" s="35">
        <f ca="1"/>
        <v>2.9248778678076038E-3</v>
      </c>
      <c r="P8" s="35">
        <f ca="1"/>
        <v>2.4044809082031061E-3</v>
      </c>
      <c r="Q8" s="35">
        <f ca="1"/>
        <v>3.743946604852453E-3</v>
      </c>
      <c r="R8" s="35">
        <f ca="1"/>
        <v>1.0606124572306436E-3</v>
      </c>
      <c r="S8" s="35">
        <f ca="1"/>
        <v>1.4993182730300343E-3</v>
      </c>
      <c r="T8" s="35">
        <f ca="1"/>
        <v>2.875312738801337E-3</v>
      </c>
      <c r="U8" s="35">
        <f ca="1"/>
        <v>4.7405977225405023E-3</v>
      </c>
      <c r="V8" s="35">
        <f ca="1"/>
        <v>4.5432698637639683E-3</v>
      </c>
      <c r="W8" s="35">
        <f ca="1"/>
        <v>1.9289933693381533E-3</v>
      </c>
      <c r="X8" s="35">
        <f ca="1"/>
        <v>6.5867351909810903E-4</v>
      </c>
      <c r="Y8" s="35">
        <f ca="1"/>
        <v>-9.2828001355906335E-4</v>
      </c>
      <c r="Z8" s="35">
        <f ca="1"/>
        <v>3.8934904604930633E-3</v>
      </c>
      <c r="AA8" s="35">
        <f ca="1"/>
        <v>6.014106930538627E-4</v>
      </c>
      <c r="AB8" s="35">
        <f ca="1"/>
        <v>1.1444074410247248E-3</v>
      </c>
      <c r="AC8" s="35">
        <f ca="1"/>
        <v>2.3727236351430061E-3</v>
      </c>
      <c r="AD8" s="35">
        <f ca="1"/>
        <v>-2.7126946117847875E-5</v>
      </c>
      <c r="AE8" s="35">
        <f ca="1"/>
        <v>1.4607382229323241E-3</v>
      </c>
    </row>
    <row r="9" spans="1:31" x14ac:dyDescent="0.25">
      <c r="A9" s="30" t="str">
        <f>'Corr. Matrix'!B10</f>
        <v>meta</v>
      </c>
      <c r="B9" s="35">
        <f ca="1">'Corr. Matrix'!B44*'Corr. Matrix'!B$40*'Corr. Matrix'!C10</f>
        <v>4.2128469336132702E-3</v>
      </c>
      <c r="C9" s="35">
        <f ca="1">'Corr. Matrix'!B$41*'Corr. Matrix'!B44*'Corr. Matrix'!D10</f>
        <v>4.2893877522728269E-3</v>
      </c>
      <c r="D9" s="35">
        <f ca="1">'Corr. Matrix'!B$42*'Corr. Matrix'!B44*'Corr. Matrix'!E10</f>
        <v>8.2056389908902808E-3</v>
      </c>
      <c r="E9" s="35">
        <f ca="1">'Corr. Matrix'!B$43*'Corr. Matrix'!B44*'Corr. Matrix'!F10</f>
        <v>2.1521950813643098E-3</v>
      </c>
      <c r="F9" s="35">
        <f ca="1">'Corr. Matrix'!B$44*'Corr. Matrix'!B44*'Corr. Matrix'!G10</f>
        <v>1.4920420572163019E-2</v>
      </c>
      <c r="G9" s="35" cm="1">
        <f t="array" aca="1" ref="G9:AE9" ca="1">TRANSPOSE(F10:F34)</f>
        <v>2.399087012117732E-3</v>
      </c>
      <c r="H9" s="35">
        <f ca="1"/>
        <v>2.0311915680629438E-4</v>
      </c>
      <c r="I9" s="35">
        <f ca="1"/>
        <v>3.5368651919470552E-3</v>
      </c>
      <c r="J9" s="35">
        <f ca="1"/>
        <v>2.4741771780740869E-3</v>
      </c>
      <c r="K9" s="35">
        <f ca="1"/>
        <v>3.6557781595985706E-3</v>
      </c>
      <c r="L9" s="35">
        <f ca="1"/>
        <v>1.7910511149942575E-3</v>
      </c>
      <c r="M9" s="35">
        <f ca="1"/>
        <v>-5.5199504217525136E-4</v>
      </c>
      <c r="N9" s="35">
        <f ca="1"/>
        <v>2.9992574934553833E-3</v>
      </c>
      <c r="O9" s="35">
        <f ca="1"/>
        <v>1.2005786873220308E-3</v>
      </c>
      <c r="P9" s="35">
        <f ca="1"/>
        <v>-2.2081704747528024E-3</v>
      </c>
      <c r="Q9" s="35">
        <f ca="1"/>
        <v>4.0227218236659149E-3</v>
      </c>
      <c r="R9" s="35">
        <f ca="1"/>
        <v>1.8688041619781051E-3</v>
      </c>
      <c r="S9" s="35">
        <f ca="1"/>
        <v>1.8732198039909951E-3</v>
      </c>
      <c r="T9" s="35">
        <f ca="1"/>
        <v>3.2335857223473293E-3</v>
      </c>
      <c r="U9" s="35">
        <f ca="1"/>
        <v>2.1507343508906499E-3</v>
      </c>
      <c r="V9" s="35">
        <f ca="1"/>
        <v>1.6377558937152287E-4</v>
      </c>
      <c r="W9" s="35">
        <f ca="1"/>
        <v>5.4536984974579031E-4</v>
      </c>
      <c r="X9" s="35">
        <f ca="1"/>
        <v>1.1881730710208522E-3</v>
      </c>
      <c r="Y9" s="35">
        <f ca="1"/>
        <v>7.5086418720200256E-4</v>
      </c>
      <c r="Z9" s="35">
        <f ca="1"/>
        <v>1.8741102054676364E-3</v>
      </c>
      <c r="AA9" s="35">
        <f ca="1"/>
        <v>4.0553239546972071E-3</v>
      </c>
      <c r="AB9" s="35">
        <f ca="1"/>
        <v>1.1522359093368221E-3</v>
      </c>
      <c r="AC9" s="35">
        <f ca="1"/>
        <v>1.8812041039783381E-3</v>
      </c>
      <c r="AD9" s="35">
        <f ca="1"/>
        <v>2.0579938866966739E-4</v>
      </c>
      <c r="AE9" s="35">
        <f ca="1"/>
        <v>2.2529779490258043E-4</v>
      </c>
    </row>
    <row r="10" spans="1:31" x14ac:dyDescent="0.25">
      <c r="A10" s="30" t="str">
        <f>'Corr. Matrix'!B11</f>
        <v>f</v>
      </c>
      <c r="B10" s="35">
        <f ca="1">'Corr. Matrix'!B45*'Corr. Matrix'!B$40*'Corr. Matrix'!C11</f>
        <v>6.8213929072019775E-3</v>
      </c>
      <c r="C10" s="35">
        <f ca="1">'Corr. Matrix'!B$41*'Corr. Matrix'!B45*'Corr. Matrix'!D11</f>
        <v>7.7353204818762667E-3</v>
      </c>
      <c r="D10" s="35">
        <f ca="1">'Corr. Matrix'!B$42*'Corr. Matrix'!B45*'Corr. Matrix'!E11</f>
        <v>7.5268252714689125E-3</v>
      </c>
      <c r="E10" s="35">
        <f ca="1">'Corr. Matrix'!B$43*'Corr. Matrix'!B45*'Corr. Matrix'!F11</f>
        <v>5.3090064548568005E-3</v>
      </c>
      <c r="F10" s="35">
        <f ca="1">'Corr. Matrix'!B$44*'Corr. Matrix'!B45*'Corr. Matrix'!G11</f>
        <v>2.399087012117732E-3</v>
      </c>
      <c r="G10" s="35">
        <f ca="1">'Corr. Matrix'!B$45*'Corr. Matrix'!B45*'Corr. Matrix'!H11</f>
        <v>1.365114694785197E-2</v>
      </c>
      <c r="H10" s="35" cm="1">
        <f t="array" aca="1" ref="H10:AE10" ca="1">TRANSPOSE(G11:G34)</f>
        <v>5.7818271011796018E-3</v>
      </c>
      <c r="I10" s="35">
        <f ca="1"/>
        <v>4.1281385993686666E-3</v>
      </c>
      <c r="J10" s="35">
        <f ca="1"/>
        <v>4.4093746708498754E-3</v>
      </c>
      <c r="K10" s="35">
        <f ca="1"/>
        <v>2.5214138526749421E-3</v>
      </c>
      <c r="L10" s="35">
        <f ca="1"/>
        <v>6.2972556576508208E-3</v>
      </c>
      <c r="M10" s="35">
        <f ca="1"/>
        <v>1.1626908196215259E-3</v>
      </c>
      <c r="N10" s="35">
        <f ca="1"/>
        <v>3.1122053854773083E-3</v>
      </c>
      <c r="O10" s="35">
        <f ca="1"/>
        <v>2.8709826523127735E-3</v>
      </c>
      <c r="P10" s="35">
        <f ca="1"/>
        <v>3.7395634756786172E-3</v>
      </c>
      <c r="Q10" s="35">
        <f ca="1"/>
        <v>1.8121875034209118E-3</v>
      </c>
      <c r="R10" s="35">
        <f ca="1"/>
        <v>6.5145935979074978E-4</v>
      </c>
      <c r="S10" s="35">
        <f ca="1"/>
        <v>3.3439621892100155E-3</v>
      </c>
      <c r="T10" s="35">
        <f ca="1"/>
        <v>3.6620747825305937E-3</v>
      </c>
      <c r="U10" s="35">
        <f ca="1"/>
        <v>3.8134643436069258E-3</v>
      </c>
      <c r="V10" s="35">
        <f ca="1"/>
        <v>3.561106250211608E-3</v>
      </c>
      <c r="W10" s="35">
        <f ca="1"/>
        <v>7.8067665115459694E-4</v>
      </c>
      <c r="X10" s="35">
        <f ca="1"/>
        <v>1.4874448877660578E-3</v>
      </c>
      <c r="Y10" s="35">
        <f ca="1"/>
        <v>3.9455221972287043E-4</v>
      </c>
      <c r="Z10" s="35">
        <f ca="1"/>
        <v>2.598885080589591E-3</v>
      </c>
      <c r="AA10" s="35">
        <f ca="1"/>
        <v>2.7313934545450864E-3</v>
      </c>
      <c r="AB10" s="35">
        <f ca="1"/>
        <v>1.6060962278265918E-3</v>
      </c>
      <c r="AC10" s="35">
        <f ca="1"/>
        <v>1.4501649002247677E-3</v>
      </c>
      <c r="AD10" s="35">
        <f ca="1"/>
        <v>4.2120585312594545E-4</v>
      </c>
      <c r="AE10" s="35">
        <f ca="1"/>
        <v>1.9697699227966001E-3</v>
      </c>
    </row>
    <row r="11" spans="1:31" x14ac:dyDescent="0.25">
      <c r="A11" s="30" t="str">
        <f>'Corr. Matrix'!B12</f>
        <v>hog</v>
      </c>
      <c r="B11" s="35">
        <f ca="1">'Corr. Matrix'!B46*'Corr. Matrix'!B$40*'Corr. Matrix'!C12</f>
        <v>4.6738042091277352E-3</v>
      </c>
      <c r="C11" s="35">
        <f ca="1">'Corr. Matrix'!B$41*'Corr. Matrix'!B46*'Corr. Matrix'!D12</f>
        <v>6.0849808736608028E-3</v>
      </c>
      <c r="D11" s="35">
        <f ca="1">'Corr. Matrix'!B$42*'Corr. Matrix'!B46*'Corr. Matrix'!E12</f>
        <v>4.3384663278498974E-3</v>
      </c>
      <c r="E11" s="35">
        <f ca="1">'Corr. Matrix'!B$43*'Corr. Matrix'!B46*'Corr. Matrix'!F12</f>
        <v>4.570773878935599E-3</v>
      </c>
      <c r="F11" s="35">
        <f ca="1">'Corr. Matrix'!B$44*'Corr. Matrix'!B46*'Corr. Matrix'!G12</f>
        <v>2.0311915680629438E-4</v>
      </c>
      <c r="G11" s="35">
        <f ca="1">'Corr. Matrix'!B$45*'Corr. Matrix'!B46*'Corr. Matrix'!H12</f>
        <v>5.7818271011796018E-3</v>
      </c>
      <c r="H11" s="35">
        <f ca="1">'Corr. Matrix'!B$46*'Corr. Matrix'!B46*'Corr. Matrix'!I12</f>
        <v>1.3229636267345746E-2</v>
      </c>
      <c r="I11" s="35" cm="1">
        <f t="array" aca="1" ref="I11:AE11" ca="1">TRANSPOSE(H12:H34)</f>
        <v>4.7982974587129296E-3</v>
      </c>
      <c r="J11" s="35">
        <f ca="1"/>
        <v>4.5796379040626972E-3</v>
      </c>
      <c r="K11" s="35">
        <f ca="1"/>
        <v>1.0211929650391506E-3</v>
      </c>
      <c r="L11" s="35">
        <f ca="1"/>
        <v>5.5121533424392277E-3</v>
      </c>
      <c r="M11" s="35">
        <f ca="1"/>
        <v>-1.8581667783920395E-3</v>
      </c>
      <c r="N11" s="35">
        <f ca="1"/>
        <v>7.5689095951586875E-4</v>
      </c>
      <c r="O11" s="35">
        <f ca="1"/>
        <v>3.9806197897193337E-3</v>
      </c>
      <c r="P11" s="35">
        <f ca="1"/>
        <v>2.5805235978741364E-3</v>
      </c>
      <c r="Q11" s="35">
        <f ca="1"/>
        <v>2.5621896721292367E-3</v>
      </c>
      <c r="R11" s="35">
        <f ca="1"/>
        <v>1.5029691724166073E-3</v>
      </c>
      <c r="S11" s="35">
        <f ca="1"/>
        <v>2.2691824190891698E-3</v>
      </c>
      <c r="T11" s="35">
        <f ca="1"/>
        <v>4.3326963898776827E-3</v>
      </c>
      <c r="U11" s="35">
        <f ca="1"/>
        <v>3.5403852482509576E-3</v>
      </c>
      <c r="V11" s="35">
        <f ca="1"/>
        <v>4.9901558186869199E-3</v>
      </c>
      <c r="W11" s="35">
        <f ca="1"/>
        <v>1.2916744620217354E-3</v>
      </c>
      <c r="X11" s="35">
        <f ca="1"/>
        <v>2.3298136865996639E-3</v>
      </c>
      <c r="Y11" s="35">
        <f ca="1"/>
        <v>1.1138335023365624E-3</v>
      </c>
      <c r="Z11" s="35">
        <f ca="1"/>
        <v>2.1510069436069968E-3</v>
      </c>
      <c r="AA11" s="35">
        <f ca="1"/>
        <v>1.0200514507830276E-3</v>
      </c>
      <c r="AB11" s="35">
        <f ca="1"/>
        <v>2.1539622299851014E-3</v>
      </c>
      <c r="AC11" s="35">
        <f ca="1"/>
        <v>1.2791102544664743E-3</v>
      </c>
      <c r="AD11" s="35">
        <f ca="1"/>
        <v>9.2126223009079717E-4</v>
      </c>
      <c r="AE11" s="35">
        <f ca="1"/>
        <v>1.8903512856602749E-3</v>
      </c>
    </row>
    <row r="12" spans="1:31" x14ac:dyDescent="0.25">
      <c r="A12" s="30" t="str">
        <f>'Corr. Matrix'!B13</f>
        <v>pzza</v>
      </c>
      <c r="B12" s="35">
        <f ca="1">'Corr. Matrix'!B47*'Corr. Matrix'!B$40*'Corr. Matrix'!C13</f>
        <v>3.8377047494700094E-3</v>
      </c>
      <c r="C12" s="35">
        <f ca="1">'Corr. Matrix'!B$41*'Corr. Matrix'!B47*'Corr. Matrix'!D13</f>
        <v>3.0935865837798966E-3</v>
      </c>
      <c r="D12" s="35">
        <f ca="1">'Corr. Matrix'!B$42*'Corr. Matrix'!B47*'Corr. Matrix'!E13</f>
        <v>4.7979648524915106E-3</v>
      </c>
      <c r="E12" s="35">
        <f ca="1">'Corr. Matrix'!B$43*'Corr. Matrix'!B47*'Corr. Matrix'!F13</f>
        <v>1.5257253280289188E-3</v>
      </c>
      <c r="F12" s="35">
        <f ca="1">'Corr. Matrix'!B$44*'Corr. Matrix'!B47*'Corr. Matrix'!G13</f>
        <v>3.5368651919470552E-3</v>
      </c>
      <c r="G12" s="35">
        <f ca="1">'Corr. Matrix'!B$45*'Corr. Matrix'!B47*'Corr. Matrix'!H13</f>
        <v>4.1281385993686666E-3</v>
      </c>
      <c r="H12" s="35">
        <f ca="1">'Corr. Matrix'!B$46*'Corr. Matrix'!B47*'Corr. Matrix'!I13</f>
        <v>4.7982974587129296E-3</v>
      </c>
      <c r="I12" s="35">
        <f ca="1">'Corr. Matrix'!B$47*'Corr. Matrix'!B47*'Corr. Matrix'!J13</f>
        <v>1.1930466314196361E-2</v>
      </c>
      <c r="J12" s="35" cm="1">
        <f t="array" aca="1" ref="J12:AE12" ca="1">TRANSPOSE(I13:I34)</f>
        <v>2.2843137042255299E-3</v>
      </c>
      <c r="K12" s="35">
        <f ca="1"/>
        <v>2.6693722704182045E-3</v>
      </c>
      <c r="L12" s="35">
        <f ca="1"/>
        <v>3.3712706318079306E-3</v>
      </c>
      <c r="M12" s="35">
        <f ca="1"/>
        <v>2.0535182933726837E-4</v>
      </c>
      <c r="N12" s="35">
        <f ca="1"/>
        <v>1.3124847770926377E-3</v>
      </c>
      <c r="O12" s="35">
        <f ca="1"/>
        <v>2.9421094662461121E-3</v>
      </c>
      <c r="P12" s="35">
        <f ca="1"/>
        <v>8.5573540418819793E-4</v>
      </c>
      <c r="Q12" s="35">
        <f ca="1"/>
        <v>2.448359499776411E-3</v>
      </c>
      <c r="R12" s="35">
        <f ca="1"/>
        <v>2.0284456557464275E-3</v>
      </c>
      <c r="S12" s="35">
        <f ca="1"/>
        <v>2.1969516453162192E-3</v>
      </c>
      <c r="T12" s="35">
        <f ca="1"/>
        <v>3.517898246146275E-3</v>
      </c>
      <c r="U12" s="35">
        <f ca="1"/>
        <v>2.0554403430520091E-3</v>
      </c>
      <c r="V12" s="35">
        <f ca="1"/>
        <v>2.1698222129617022E-3</v>
      </c>
      <c r="W12" s="35">
        <f ca="1"/>
        <v>1.0655106707336795E-3</v>
      </c>
      <c r="X12" s="35">
        <f ca="1"/>
        <v>9.6492061978102888E-4</v>
      </c>
      <c r="Y12" s="35">
        <f ca="1"/>
        <v>8.55171749150157E-4</v>
      </c>
      <c r="Z12" s="35">
        <f ca="1"/>
        <v>1.958919279630174E-3</v>
      </c>
      <c r="AA12" s="35">
        <f ca="1"/>
        <v>2.2740726788072199E-3</v>
      </c>
      <c r="AB12" s="35">
        <f ca="1"/>
        <v>2.1448335128346854E-3</v>
      </c>
      <c r="AC12" s="35">
        <f ca="1"/>
        <v>2.6589496363362225E-4</v>
      </c>
      <c r="AD12" s="35">
        <f ca="1"/>
        <v>6.9911580819636871E-4</v>
      </c>
      <c r="AE12" s="35">
        <f ca="1"/>
        <v>1.6142966820489558E-3</v>
      </c>
    </row>
    <row r="13" spans="1:31" x14ac:dyDescent="0.25">
      <c r="A13" s="30" t="str">
        <f>'Corr. Matrix'!B14</f>
        <v>ba</v>
      </c>
      <c r="B13" s="35">
        <f ca="1">'Corr. Matrix'!B48*'Corr. Matrix'!B$40*'Corr. Matrix'!C14</f>
        <v>2.5071469824619434E-3</v>
      </c>
      <c r="C13" s="35">
        <f ca="1">'Corr. Matrix'!B$41*'Corr. Matrix'!B48*'Corr. Matrix'!D14</f>
        <v>6.2134376592284015E-3</v>
      </c>
      <c r="D13" s="35">
        <f ca="1">'Corr. Matrix'!B$42*'Corr. Matrix'!B48*'Corr. Matrix'!E14</f>
        <v>4.6890299441552522E-3</v>
      </c>
      <c r="E13" s="35">
        <f ca="1">'Corr. Matrix'!B$43*'Corr. Matrix'!B48*'Corr. Matrix'!F14</f>
        <v>3.3225946694449421E-3</v>
      </c>
      <c r="F13" s="35">
        <f ca="1">'Corr. Matrix'!B$44*'Corr. Matrix'!B48*'Corr. Matrix'!G14</f>
        <v>2.4741771780740869E-3</v>
      </c>
      <c r="G13" s="35">
        <f ca="1">'Corr. Matrix'!B$45*'Corr. Matrix'!B48*'Corr. Matrix'!H14</f>
        <v>4.4093746708498754E-3</v>
      </c>
      <c r="H13" s="35">
        <f ca="1">'Corr. Matrix'!B$46*'Corr. Matrix'!B48*'Corr. Matrix'!I14</f>
        <v>4.5796379040626972E-3</v>
      </c>
      <c r="I13" s="35">
        <f ca="1">'Corr. Matrix'!B$47*'Corr. Matrix'!B48*'Corr. Matrix'!J14</f>
        <v>2.2843137042255299E-3</v>
      </c>
      <c r="J13" s="35">
        <f ca="1">'Corr. Matrix'!B$48*'Corr. Matrix'!B48*'Corr. Matrix'!K14</f>
        <v>1.0663216293498137E-2</v>
      </c>
      <c r="K13" s="35" cm="1">
        <f t="array" aca="1" ref="K13:AE13" ca="1">TRANSPOSE(J14:J34)</f>
        <v>1.0761255294770436E-3</v>
      </c>
      <c r="L13" s="35">
        <f ca="1"/>
        <v>3.1025276470233029E-3</v>
      </c>
      <c r="M13" s="35">
        <f ca="1"/>
        <v>-2.3375970166615058E-3</v>
      </c>
      <c r="N13" s="35">
        <f ca="1"/>
        <v>2.4450678970148001E-3</v>
      </c>
      <c r="O13" s="35">
        <f ca="1"/>
        <v>2.7943747430543469E-3</v>
      </c>
      <c r="P13" s="35">
        <f ca="1"/>
        <v>4.3613580678521685E-4</v>
      </c>
      <c r="Q13" s="35">
        <f ca="1"/>
        <v>3.1179683150763748E-3</v>
      </c>
      <c r="R13" s="35">
        <f ca="1"/>
        <v>1.1532919910230207E-3</v>
      </c>
      <c r="S13" s="35">
        <f ca="1"/>
        <v>2.3291660083292255E-3</v>
      </c>
      <c r="T13" s="35">
        <f ca="1"/>
        <v>2.34915859653735E-3</v>
      </c>
      <c r="U13" s="35">
        <f ca="1"/>
        <v>3.0822560744605664E-3</v>
      </c>
      <c r="V13" s="35">
        <f ca="1"/>
        <v>2.3854031318569918E-3</v>
      </c>
      <c r="W13" s="35">
        <f ca="1"/>
        <v>9.5512733149234036E-4</v>
      </c>
      <c r="X13" s="35">
        <f ca="1"/>
        <v>7.2148673628198679E-4</v>
      </c>
      <c r="Y13" s="35">
        <f ca="1"/>
        <v>5.83177056984028E-4</v>
      </c>
      <c r="Z13" s="35">
        <f ca="1"/>
        <v>2.6793949539450895E-3</v>
      </c>
      <c r="AA13" s="35">
        <f ca="1"/>
        <v>2.1539420922341134E-3</v>
      </c>
      <c r="AB13" s="35">
        <f ca="1"/>
        <v>1.1125179990975904E-3</v>
      </c>
      <c r="AC13" s="35">
        <f ca="1"/>
        <v>5.3733448647028841E-4</v>
      </c>
      <c r="AD13" s="35">
        <f ca="1"/>
        <v>1.3807928981866919E-3</v>
      </c>
      <c r="AE13" s="35">
        <f ca="1"/>
        <v>1.6547249050767358E-3</v>
      </c>
    </row>
    <row r="14" spans="1:31" x14ac:dyDescent="0.25">
      <c r="A14" s="30" t="str">
        <f>'Corr. Matrix'!B15</f>
        <v>cmg</v>
      </c>
      <c r="B14" s="35">
        <f ca="1">'Corr. Matrix'!B49*'Corr. Matrix'!B$40*'Corr. Matrix'!C15</f>
        <v>3.6409831303046356E-3</v>
      </c>
      <c r="C14" s="35">
        <f ca="1">'Corr. Matrix'!B$41*'Corr. Matrix'!B49*'Corr. Matrix'!D15</f>
        <v>3.8103919432866669E-3</v>
      </c>
      <c r="D14" s="35">
        <f ca="1">'Corr. Matrix'!B$42*'Corr. Matrix'!B49*'Corr. Matrix'!E15</f>
        <v>3.9530886332171207E-3</v>
      </c>
      <c r="E14" s="35">
        <f ca="1">'Corr. Matrix'!B$43*'Corr. Matrix'!B49*'Corr. Matrix'!F15</f>
        <v>1.7209084803323233E-3</v>
      </c>
      <c r="F14" s="35">
        <f ca="1">'Corr. Matrix'!B$44*'Corr. Matrix'!B49*'Corr. Matrix'!G15</f>
        <v>3.6557781595985706E-3</v>
      </c>
      <c r="G14" s="35">
        <f ca="1">'Corr. Matrix'!B$45*'Corr. Matrix'!B49*'Corr. Matrix'!H15</f>
        <v>2.5214138526749421E-3</v>
      </c>
      <c r="H14" s="35">
        <f ca="1">'Corr. Matrix'!B$46*'Corr. Matrix'!B49*'Corr. Matrix'!I15</f>
        <v>1.0211929650391506E-3</v>
      </c>
      <c r="I14" s="35">
        <f ca="1">'Corr. Matrix'!B$47*'Corr. Matrix'!B49*'Corr. Matrix'!J15</f>
        <v>2.6693722704182045E-3</v>
      </c>
      <c r="J14" s="35">
        <f ca="1">'Corr. Matrix'!B$48*'Corr. Matrix'!B49*'Corr. Matrix'!K15</f>
        <v>1.0761255294770436E-3</v>
      </c>
      <c r="K14" s="35">
        <f ca="1">'Corr. Matrix'!B$49*'Corr. Matrix'!B49*'Corr. Matrix'!L15</f>
        <v>9.0496121632799714E-3</v>
      </c>
      <c r="L14" s="35" cm="1">
        <f t="array" aca="1" ref="L14:AE14" ca="1">TRANSPOSE(K15:K34)</f>
        <v>-6.1639203931566374E-5</v>
      </c>
      <c r="M14" s="35">
        <f ca="1"/>
        <v>2.9384468144085089E-3</v>
      </c>
      <c r="N14" s="35">
        <f ca="1"/>
        <v>2.3965513343717024E-3</v>
      </c>
      <c r="O14" s="35">
        <f ca="1"/>
        <v>7.0403222816255639E-4</v>
      </c>
      <c r="P14" s="35">
        <f ca="1"/>
        <v>6.0159491444529682E-5</v>
      </c>
      <c r="Q14" s="35">
        <f ca="1"/>
        <v>1.9002885959651366E-3</v>
      </c>
      <c r="R14" s="35">
        <f ca="1"/>
        <v>5.3632355758677895E-4</v>
      </c>
      <c r="S14" s="35">
        <f ca="1"/>
        <v>2.4532663644320171E-3</v>
      </c>
      <c r="T14" s="35">
        <f ca="1"/>
        <v>1.5782991620826034E-3</v>
      </c>
      <c r="U14" s="35">
        <f ca="1"/>
        <v>1.162839403859799E-3</v>
      </c>
      <c r="V14" s="35">
        <f ca="1"/>
        <v>1.1034985748096281E-3</v>
      </c>
      <c r="W14" s="35">
        <f ca="1"/>
        <v>1.0790181542252519E-3</v>
      </c>
      <c r="X14" s="35">
        <f ca="1"/>
        <v>2.2771987111780815E-3</v>
      </c>
      <c r="Y14" s="35">
        <f ca="1"/>
        <v>-7.5252229023558843E-5</v>
      </c>
      <c r="Z14" s="35">
        <f ca="1"/>
        <v>1.6815803664792749E-3</v>
      </c>
      <c r="AA14" s="35">
        <f ca="1"/>
        <v>2.743928022282563E-3</v>
      </c>
      <c r="AB14" s="35">
        <f ca="1"/>
        <v>2.4665809872897108E-3</v>
      </c>
      <c r="AC14" s="35">
        <f ca="1"/>
        <v>1.638243062904964E-3</v>
      </c>
      <c r="AD14" s="35">
        <f ca="1"/>
        <v>6.0022286654751004E-4</v>
      </c>
      <c r="AE14" s="35">
        <f ca="1"/>
        <v>9.9793794945247016E-4</v>
      </c>
    </row>
    <row r="15" spans="1:31" x14ac:dyDescent="0.25">
      <c r="A15" s="30" t="str">
        <f>'Corr. Matrix'!B16</f>
        <v>cat</v>
      </c>
      <c r="B15" s="35">
        <f ca="1">'Corr. Matrix'!B50*'Corr. Matrix'!B$40*'Corr. Matrix'!C16</f>
        <v>3.7506386774402733E-3</v>
      </c>
      <c r="C15" s="35">
        <f ca="1">'Corr. Matrix'!B$41*'Corr. Matrix'!B50*'Corr. Matrix'!D16</f>
        <v>7.2139761286393947E-3</v>
      </c>
      <c r="D15" s="35">
        <f ca="1">'Corr. Matrix'!B$42*'Corr. Matrix'!B50*'Corr. Matrix'!E16</f>
        <v>5.2857860956673141E-3</v>
      </c>
      <c r="E15" s="35">
        <f ca="1">'Corr. Matrix'!B$43*'Corr. Matrix'!B50*'Corr. Matrix'!F16</f>
        <v>6.1987603346393451E-3</v>
      </c>
      <c r="F15" s="35">
        <f ca="1">'Corr. Matrix'!B$44*'Corr. Matrix'!B50*'Corr. Matrix'!G16</f>
        <v>1.7910511149942575E-3</v>
      </c>
      <c r="G15" s="35">
        <f ca="1">'Corr. Matrix'!B$45*'Corr. Matrix'!B50*'Corr. Matrix'!H16</f>
        <v>6.2972556576508208E-3</v>
      </c>
      <c r="H15" s="35">
        <f ca="1">'Corr. Matrix'!B$46*'Corr. Matrix'!B50*'Corr. Matrix'!I16</f>
        <v>5.5121533424392277E-3</v>
      </c>
      <c r="I15" s="35">
        <f ca="1">'Corr. Matrix'!B$47*'Corr. Matrix'!B50*'Corr. Matrix'!J16</f>
        <v>3.3712706318079306E-3</v>
      </c>
      <c r="J15" s="35">
        <f ca="1">'Corr. Matrix'!B$48*'Corr. Matrix'!B50*'Corr. Matrix'!K16</f>
        <v>3.1025276470233029E-3</v>
      </c>
      <c r="K15" s="35">
        <f ca="1">'Corr. Matrix'!B$49*'Corr. Matrix'!B50*'Corr. Matrix'!L16</f>
        <v>-6.1639203931566374E-5</v>
      </c>
      <c r="L15" s="35">
        <f ca="1">'Corr. Matrix'!B$50*'Corr. Matrix'!B50*'Corr. Matrix'!M16</f>
        <v>9.0435009345131954E-3</v>
      </c>
      <c r="M15" s="35" cm="1">
        <f t="array" aca="1" ref="M15:AE15" ca="1">TRANSPOSE(L16:L34)</f>
        <v>7.951316304203428E-4</v>
      </c>
      <c r="N15" s="35">
        <f ca="1"/>
        <v>2.4115580797900884E-3</v>
      </c>
      <c r="O15" s="35">
        <f ca="1"/>
        <v>4.1354412550023032E-3</v>
      </c>
      <c r="P15" s="35">
        <f ca="1"/>
        <v>3.2746859045850864E-3</v>
      </c>
      <c r="Q15" s="35">
        <f ca="1"/>
        <v>2.8484005250447486E-3</v>
      </c>
      <c r="R15" s="35">
        <f ca="1"/>
        <v>3.0147623038020975E-3</v>
      </c>
      <c r="S15" s="35">
        <f ca="1"/>
        <v>1.7447846471987849E-3</v>
      </c>
      <c r="T15" s="35">
        <f ca="1"/>
        <v>3.101032919770973E-3</v>
      </c>
      <c r="U15" s="35">
        <f ca="1"/>
        <v>4.1754761101441351E-3</v>
      </c>
      <c r="V15" s="35">
        <f ca="1"/>
        <v>4.2161649799100686E-3</v>
      </c>
      <c r="W15" s="35">
        <f ca="1"/>
        <v>1.1133939654985867E-3</v>
      </c>
      <c r="X15" s="35">
        <f ca="1"/>
        <v>1.7482481555992778E-3</v>
      </c>
      <c r="Y15" s="35">
        <f ca="1"/>
        <v>1.0494588345603907E-3</v>
      </c>
      <c r="Z15" s="35">
        <f ca="1"/>
        <v>3.0066855670835466E-3</v>
      </c>
      <c r="AA15" s="35">
        <f ca="1"/>
        <v>1.7983747072433691E-3</v>
      </c>
      <c r="AB15" s="35">
        <f ca="1"/>
        <v>1.7085989305927363E-3</v>
      </c>
      <c r="AC15" s="35">
        <f ca="1"/>
        <v>1.6861623913197927E-3</v>
      </c>
      <c r="AD15" s="35">
        <f ca="1"/>
        <v>1.0992592131754035E-3</v>
      </c>
      <c r="AE15" s="35">
        <f ca="1"/>
        <v>1.479435401972752E-3</v>
      </c>
    </row>
    <row r="16" spans="1:31" x14ac:dyDescent="0.25">
      <c r="A16" s="30" t="str">
        <f>'Corr. Matrix'!B17</f>
        <v>lly</v>
      </c>
      <c r="B16" s="35">
        <f ca="1">'Corr. Matrix'!B51*'Corr. Matrix'!B$40*'Corr. Matrix'!C17</f>
        <v>-1.6743838157717264E-3</v>
      </c>
      <c r="C16" s="35">
        <f ca="1">'Corr. Matrix'!B$41*'Corr. Matrix'!B51*'Corr. Matrix'!D17</f>
        <v>-2.1557915804284625E-3</v>
      </c>
      <c r="D16" s="35">
        <f ca="1">'Corr. Matrix'!B$42*'Corr. Matrix'!B51*'Corr. Matrix'!E17</f>
        <v>1.5757606298971746E-3</v>
      </c>
      <c r="E16" s="35">
        <f ca="1">'Corr. Matrix'!B$43*'Corr. Matrix'!B51*'Corr. Matrix'!F17</f>
        <v>-1.9591088561654729E-3</v>
      </c>
      <c r="F16" s="35">
        <f ca="1">'Corr. Matrix'!B$44*'Corr. Matrix'!B51*'Corr. Matrix'!G17</f>
        <v>-5.5199504217525136E-4</v>
      </c>
      <c r="G16" s="35">
        <f ca="1">'Corr. Matrix'!B$45*'Corr. Matrix'!B51*'Corr. Matrix'!H17</f>
        <v>1.1626908196215259E-3</v>
      </c>
      <c r="H16" s="35">
        <f ca="1">'Corr. Matrix'!B$46*'Corr. Matrix'!B51*'Corr. Matrix'!I17</f>
        <v>-1.8581667783920395E-3</v>
      </c>
      <c r="I16" s="35">
        <f ca="1">'Corr. Matrix'!B$47*'Corr. Matrix'!B51*'Corr. Matrix'!J17</f>
        <v>2.0535182933726837E-4</v>
      </c>
      <c r="J16" s="35">
        <f ca="1">'Corr. Matrix'!B$48*'Corr. Matrix'!B51*'Corr. Matrix'!K17</f>
        <v>-2.3375970166615058E-3</v>
      </c>
      <c r="K16" s="35">
        <f ca="1">'Corr. Matrix'!B$49*'Corr. Matrix'!B51*'Corr. Matrix'!L17</f>
        <v>2.9384468144085089E-3</v>
      </c>
      <c r="L16" s="35">
        <f ca="1">'Corr. Matrix'!B$50*'Corr. Matrix'!B51*'Corr. Matrix'!M17</f>
        <v>7.951316304203428E-4</v>
      </c>
      <c r="M16" s="35">
        <f ca="1">'Corr. Matrix'!B$51*'Corr. Matrix'!B51*'Corr. Matrix'!N17</f>
        <v>8.499313828289206E-3</v>
      </c>
      <c r="N16" s="35" cm="1">
        <f t="array" aca="1" ref="N16:AE16" ca="1">TRANSPOSE(M17:M34)</f>
        <v>1.1310600691729427E-3</v>
      </c>
      <c r="O16" s="35">
        <f ca="1"/>
        <v>3.6130534672901689E-4</v>
      </c>
      <c r="P16" s="35">
        <f ca="1"/>
        <v>2.7636410569110222E-4</v>
      </c>
      <c r="Q16" s="35">
        <f ca="1"/>
        <v>1.7036461858099309E-5</v>
      </c>
      <c r="R16" s="35">
        <f ca="1"/>
        <v>5.4098271454863962E-4</v>
      </c>
      <c r="S16" s="35">
        <f ca="1"/>
        <v>1.3855658790847885E-3</v>
      </c>
      <c r="T16" s="35">
        <f ca="1"/>
        <v>-8.6225650739523297E-5</v>
      </c>
      <c r="U16" s="35">
        <f ca="1"/>
        <v>9.6336441955278791E-5</v>
      </c>
      <c r="V16" s="35">
        <f ca="1"/>
        <v>3.4200144254572525E-5</v>
      </c>
      <c r="W16" s="35">
        <f ca="1"/>
        <v>1.3188337167494203E-4</v>
      </c>
      <c r="X16" s="35">
        <f ca="1"/>
        <v>1.0312067455974685E-3</v>
      </c>
      <c r="Y16" s="35">
        <f ca="1"/>
        <v>1.1112261418783013E-3</v>
      </c>
      <c r="Z16" s="35">
        <f ca="1"/>
        <v>-4.4288896153003916E-5</v>
      </c>
      <c r="AA16" s="35">
        <f ca="1"/>
        <v>1.1129112921084467E-3</v>
      </c>
      <c r="AB16" s="35">
        <f ca="1"/>
        <v>1.2884014596139665E-3</v>
      </c>
      <c r="AC16" s="35">
        <f ca="1"/>
        <v>1.3750573903186655E-3</v>
      </c>
      <c r="AD16" s="35">
        <f ca="1"/>
        <v>9.8717001244930341E-4</v>
      </c>
      <c r="AE16" s="35">
        <f ca="1"/>
        <v>5.039971298002328E-4</v>
      </c>
    </row>
    <row r="17" spans="1:31" x14ac:dyDescent="0.25">
      <c r="A17" s="30" t="str">
        <f>'Corr. Matrix'!B18</f>
        <v>googl</v>
      </c>
      <c r="B17" s="35">
        <f ca="1">'Corr. Matrix'!B52*'Corr. Matrix'!B$40*'Corr. Matrix'!C18</f>
        <v>6.0537179665440775E-3</v>
      </c>
      <c r="C17" s="35">
        <f ca="1">'Corr. Matrix'!B$41*'Corr. Matrix'!B52*'Corr. Matrix'!D18</f>
        <v>3.3085423265517247E-3</v>
      </c>
      <c r="D17" s="35">
        <f ca="1">'Corr. Matrix'!B$42*'Corr. Matrix'!B52*'Corr. Matrix'!E18</f>
        <v>5.9796110913006642E-3</v>
      </c>
      <c r="E17" s="35">
        <f ca="1">'Corr. Matrix'!B$43*'Corr. Matrix'!B52*'Corr. Matrix'!F18</f>
        <v>2.7944086372532805E-3</v>
      </c>
      <c r="F17" s="35">
        <f ca="1">'Corr. Matrix'!B$44*'Corr. Matrix'!B52*'Corr. Matrix'!G18</f>
        <v>2.9992574934553833E-3</v>
      </c>
      <c r="G17" s="35">
        <f ca="1">'Corr. Matrix'!B$45*'Corr. Matrix'!B52*'Corr. Matrix'!H18</f>
        <v>3.1122053854773083E-3</v>
      </c>
      <c r="H17" s="35">
        <f ca="1">'Corr. Matrix'!B$46*'Corr. Matrix'!B52*'Corr. Matrix'!I18</f>
        <v>7.5689095951586875E-4</v>
      </c>
      <c r="I17" s="35">
        <f ca="1">'Corr. Matrix'!B$47*'Corr. Matrix'!B52*'Corr. Matrix'!J18</f>
        <v>1.3124847770926377E-3</v>
      </c>
      <c r="J17" s="35">
        <f ca="1">'Corr. Matrix'!B$48*'Corr. Matrix'!B52*'Corr. Matrix'!K18</f>
        <v>2.4450678970148001E-3</v>
      </c>
      <c r="K17" s="35">
        <f ca="1">'Corr. Matrix'!B$49*'Corr. Matrix'!B52*'Corr. Matrix'!L18</f>
        <v>2.3965513343717024E-3</v>
      </c>
      <c r="L17" s="35">
        <f ca="1">'Corr. Matrix'!B$50*'Corr. Matrix'!B52*'Corr. Matrix'!M18</f>
        <v>2.4115580797900884E-3</v>
      </c>
      <c r="M17" s="35">
        <f ca="1">'Corr. Matrix'!B$51*'Corr. Matrix'!B52*'Corr. Matrix'!N18</f>
        <v>1.1310600691729427E-3</v>
      </c>
      <c r="N17" s="35">
        <f ca="1">'Corr. Matrix'!B$52*'Corr. Matrix'!B52*'Corr. Matrix'!O18</f>
        <v>6.5080316708872061E-3</v>
      </c>
      <c r="O17" s="35" cm="1">
        <f t="array" aca="1" ref="O17:AE17" ca="1">TRANSPOSE(N18:N34)</f>
        <v>1.817079392614188E-3</v>
      </c>
      <c r="P17" s="35">
        <f ca="1"/>
        <v>-3.0890983673588686E-4</v>
      </c>
      <c r="Q17" s="35">
        <f ca="1"/>
        <v>1.6073985811591912E-3</v>
      </c>
      <c r="R17" s="35">
        <f ca="1"/>
        <v>5.1049505418167621E-4</v>
      </c>
      <c r="S17" s="35">
        <f ca="1"/>
        <v>2.629836662219723E-3</v>
      </c>
      <c r="T17" s="35">
        <f ca="1"/>
        <v>1.047808199447903E-3</v>
      </c>
      <c r="U17" s="35">
        <f ca="1"/>
        <v>1.5748419442426281E-3</v>
      </c>
      <c r="V17" s="35">
        <f ca="1"/>
        <v>1.1887394229225612E-3</v>
      </c>
      <c r="W17" s="35">
        <f ca="1"/>
        <v>-5.8242171245874419E-4</v>
      </c>
      <c r="X17" s="35">
        <f ca="1"/>
        <v>8.5270816176517047E-4</v>
      </c>
      <c r="Y17" s="35">
        <f ca="1"/>
        <v>9.8935035212280851E-4</v>
      </c>
      <c r="Z17" s="35">
        <f ca="1"/>
        <v>8.5154995084301853E-4</v>
      </c>
      <c r="AA17" s="35">
        <f ca="1"/>
        <v>2.7638219097929242E-3</v>
      </c>
      <c r="AB17" s="35">
        <f ca="1"/>
        <v>3.3232619982109812E-4</v>
      </c>
      <c r="AC17" s="35">
        <f ca="1"/>
        <v>9.9647165450393919E-4</v>
      </c>
      <c r="AD17" s="35">
        <f ca="1"/>
        <v>6.4342625845720424E-5</v>
      </c>
      <c r="AE17" s="35">
        <f ca="1"/>
        <v>2.0304084084959937E-4</v>
      </c>
    </row>
    <row r="18" spans="1:31" x14ac:dyDescent="0.25">
      <c r="A18" s="30" t="str">
        <f>'Corr. Matrix'!B19</f>
        <v>mmm</v>
      </c>
      <c r="B18" s="35">
        <f ca="1">'Corr. Matrix'!B53*'Corr. Matrix'!B$40*'Corr. Matrix'!C19</f>
        <v>2.486742788395893E-3</v>
      </c>
      <c r="C18" s="35">
        <f ca="1">'Corr. Matrix'!B$41*'Corr. Matrix'!B53*'Corr. Matrix'!D19</f>
        <v>3.719352058411209E-3</v>
      </c>
      <c r="D18" s="35">
        <f ca="1">'Corr. Matrix'!B$42*'Corr. Matrix'!B53*'Corr. Matrix'!E19</f>
        <v>1.5953331259738032E-3</v>
      </c>
      <c r="E18" s="35">
        <f ca="1">'Corr. Matrix'!B$43*'Corr. Matrix'!B53*'Corr. Matrix'!F19</f>
        <v>2.9248778678076038E-3</v>
      </c>
      <c r="F18" s="35">
        <f ca="1">'Corr. Matrix'!B$44*'Corr. Matrix'!B53*'Corr. Matrix'!G19</f>
        <v>1.2005786873220308E-3</v>
      </c>
      <c r="G18" s="35">
        <f ca="1">'Corr. Matrix'!B$45*'Corr. Matrix'!B53*'Corr. Matrix'!H19</f>
        <v>2.8709826523127735E-3</v>
      </c>
      <c r="H18" s="35">
        <f ca="1">'Corr. Matrix'!B$46*'Corr. Matrix'!B53*'Corr. Matrix'!I19</f>
        <v>3.9806197897193337E-3</v>
      </c>
      <c r="I18" s="35">
        <f ca="1">'Corr. Matrix'!B$47*'Corr. Matrix'!B53*'Corr. Matrix'!J19</f>
        <v>2.9421094662461121E-3</v>
      </c>
      <c r="J18" s="35">
        <f ca="1">'Corr. Matrix'!B$48*'Corr. Matrix'!B53*'Corr. Matrix'!K19</f>
        <v>2.7943747430543469E-3</v>
      </c>
      <c r="K18" s="35">
        <f ca="1">'Corr. Matrix'!B$49*'Corr. Matrix'!B53*'Corr. Matrix'!L19</f>
        <v>7.0403222816255639E-4</v>
      </c>
      <c r="L18" s="35">
        <f ca="1">'Corr. Matrix'!B$50*'Corr. Matrix'!B53*'Corr. Matrix'!M19</f>
        <v>4.1354412550023032E-3</v>
      </c>
      <c r="M18" s="35">
        <f ca="1">'Corr. Matrix'!B$51*'Corr. Matrix'!B53*'Corr. Matrix'!N19</f>
        <v>3.6130534672901689E-4</v>
      </c>
      <c r="N18" s="35">
        <f ca="1">'Corr. Matrix'!B$52*'Corr. Matrix'!B53*'Corr. Matrix'!O19</f>
        <v>1.817079392614188E-3</v>
      </c>
      <c r="O18" s="35">
        <f ca="1">'Corr. Matrix'!B$53*'Corr. Matrix'!B53*'Corr. Matrix'!P19</f>
        <v>6.1541106251362474E-3</v>
      </c>
      <c r="P18" s="35" cm="1">
        <f t="array" aca="1" ref="P18:AE18" ca="1">TRANSPOSE(O19:O34)</f>
        <v>1.6184832832603154E-3</v>
      </c>
      <c r="Q18" s="35">
        <f ca="1"/>
        <v>2.5191780844582875E-3</v>
      </c>
      <c r="R18" s="35">
        <f ca="1"/>
        <v>2.2954950110837275E-3</v>
      </c>
      <c r="S18" s="35">
        <f ca="1"/>
        <v>2.1199857396125388E-3</v>
      </c>
      <c r="T18" s="35">
        <f ca="1"/>
        <v>2.8414369958037621E-3</v>
      </c>
      <c r="U18" s="35">
        <f ca="1"/>
        <v>2.943869553611431E-3</v>
      </c>
      <c r="V18" s="35">
        <f ca="1"/>
        <v>2.9182502835876614E-3</v>
      </c>
      <c r="W18" s="35">
        <f ca="1"/>
        <v>1.4431311198553525E-3</v>
      </c>
      <c r="X18" s="35">
        <f ca="1"/>
        <v>1.7160157419242954E-3</v>
      </c>
      <c r="Y18" s="35">
        <f ca="1"/>
        <v>1.8047508493062951E-3</v>
      </c>
      <c r="Z18" s="35">
        <f ca="1"/>
        <v>2.2315420239936287E-3</v>
      </c>
      <c r="AA18" s="35">
        <f ca="1"/>
        <v>8.6157220674233669E-4</v>
      </c>
      <c r="AB18" s="35">
        <f ca="1"/>
        <v>2.0210570402941679E-3</v>
      </c>
      <c r="AC18" s="35">
        <f ca="1"/>
        <v>1.4297452096877499E-3</v>
      </c>
      <c r="AD18" s="35">
        <f ca="1"/>
        <v>1.8797841496946438E-3</v>
      </c>
      <c r="AE18" s="35">
        <f ca="1"/>
        <v>1.7562381334233976E-3</v>
      </c>
    </row>
    <row r="19" spans="1:31" x14ac:dyDescent="0.25">
      <c r="A19" s="30" t="str">
        <f>'Corr. Matrix'!B20</f>
        <v>xom</v>
      </c>
      <c r="B19" s="35">
        <f ca="1">'Corr. Matrix'!B54*'Corr. Matrix'!B$40*'Corr. Matrix'!C20</f>
        <v>-1.6521662254375268E-3</v>
      </c>
      <c r="C19" s="35">
        <f ca="1">'Corr. Matrix'!B$41*'Corr. Matrix'!B54*'Corr. Matrix'!D20</f>
        <v>2.6395588782281588E-3</v>
      </c>
      <c r="D19" s="35">
        <f ca="1">'Corr. Matrix'!B$42*'Corr. Matrix'!B54*'Corr. Matrix'!E20</f>
        <v>-7.8912554510550601E-5</v>
      </c>
      <c r="E19" s="35">
        <f ca="1">'Corr. Matrix'!B$43*'Corr. Matrix'!B54*'Corr. Matrix'!F20</f>
        <v>2.4044809082031061E-3</v>
      </c>
      <c r="F19" s="35">
        <f ca="1">'Corr. Matrix'!B$44*'Corr. Matrix'!B54*'Corr. Matrix'!G20</f>
        <v>-2.2081704747528024E-3</v>
      </c>
      <c r="G19" s="35">
        <f ca="1">'Corr. Matrix'!B$45*'Corr. Matrix'!B54*'Corr. Matrix'!H20</f>
        <v>3.7395634756786172E-3</v>
      </c>
      <c r="H19" s="35">
        <f ca="1">'Corr. Matrix'!B$46*'Corr. Matrix'!B54*'Corr. Matrix'!I20</f>
        <v>2.5805235978741364E-3</v>
      </c>
      <c r="I19" s="35">
        <f ca="1">'Corr. Matrix'!B$47*'Corr. Matrix'!B54*'Corr. Matrix'!J20</f>
        <v>8.5573540418819793E-4</v>
      </c>
      <c r="J19" s="35">
        <f ca="1">'Corr. Matrix'!B$48*'Corr. Matrix'!B54*'Corr. Matrix'!K20</f>
        <v>4.3613580678521685E-4</v>
      </c>
      <c r="K19" s="35">
        <f ca="1">'Corr. Matrix'!B$49*'Corr. Matrix'!B54*'Corr. Matrix'!L20</f>
        <v>6.0159491444529682E-5</v>
      </c>
      <c r="L19" s="35">
        <f ca="1">'Corr. Matrix'!B$50*'Corr. Matrix'!B54*'Corr. Matrix'!M20</f>
        <v>3.2746859045850864E-3</v>
      </c>
      <c r="M19" s="35">
        <f ca="1">'Corr. Matrix'!B$51*'Corr. Matrix'!B54*'Corr. Matrix'!N20</f>
        <v>2.7636410569110222E-4</v>
      </c>
      <c r="N19" s="35">
        <f ca="1">'Corr. Matrix'!B$52*'Corr. Matrix'!B54*'Corr. Matrix'!O20</f>
        <v>-3.0890983673588686E-4</v>
      </c>
      <c r="O19" s="35">
        <f ca="1">'Corr. Matrix'!B$53*'Corr. Matrix'!B54*'Corr. Matrix'!P20</f>
        <v>1.6184832832603154E-3</v>
      </c>
      <c r="P19" s="35">
        <f ca="1">'Corr. Matrix'!B$54*'Corr. Matrix'!B54*'Corr. Matrix'!Q20</f>
        <v>5.5834188060920236E-3</v>
      </c>
      <c r="Q19" s="35" cm="1">
        <f t="array" aca="1" ref="Q19:AE19" ca="1">TRANSPOSE(P20:P34)</f>
        <v>2.7617024727586526E-4</v>
      </c>
      <c r="R19" s="35">
        <f ca="1"/>
        <v>3.9350447972249635E-4</v>
      </c>
      <c r="S19" s="35">
        <f ca="1"/>
        <v>2.5522831665824268E-4</v>
      </c>
      <c r="T19" s="35">
        <f ca="1"/>
        <v>4.7802517339860432E-4</v>
      </c>
      <c r="U19" s="35">
        <f ca="1"/>
        <v>1.79959735228927E-3</v>
      </c>
      <c r="V19" s="35">
        <f ca="1"/>
        <v>2.7994947615020797E-3</v>
      </c>
      <c r="W19" s="35">
        <f ca="1"/>
        <v>1.5764953152606035E-3</v>
      </c>
      <c r="X19" s="35">
        <f ca="1"/>
        <v>4.4564280275425922E-4</v>
      </c>
      <c r="Y19" s="35">
        <f ca="1"/>
        <v>-4.8068616757820449E-4</v>
      </c>
      <c r="Z19" s="35">
        <f ca="1"/>
        <v>2.0840590883938973E-3</v>
      </c>
      <c r="AA19" s="35">
        <f ca="1"/>
        <v>-3.205175674487555E-4</v>
      </c>
      <c r="AB19" s="35">
        <f ca="1"/>
        <v>8.8498716562001559E-4</v>
      </c>
      <c r="AC19" s="35">
        <f ca="1"/>
        <v>-3.0639957154776366E-4</v>
      </c>
      <c r="AD19" s="35">
        <f ca="1"/>
        <v>8.0527197982758656E-4</v>
      </c>
      <c r="AE19" s="35">
        <f ca="1"/>
        <v>8.2696888358461831E-4</v>
      </c>
    </row>
    <row r="20" spans="1:31" x14ac:dyDescent="0.25">
      <c r="A20" s="30" t="str">
        <f>'Corr. Matrix'!B21</f>
        <v>grmn</v>
      </c>
      <c r="B20" s="35">
        <f ca="1">'Corr. Matrix'!B55*'Corr. Matrix'!B$40*'Corr. Matrix'!C21</f>
        <v>1.8697567541810702E-3</v>
      </c>
      <c r="C20" s="35">
        <f ca="1">'Corr. Matrix'!B$41*'Corr. Matrix'!B55*'Corr. Matrix'!D21</f>
        <v>5.2201897326702917E-3</v>
      </c>
      <c r="D20" s="35">
        <f ca="1">'Corr. Matrix'!B$42*'Corr. Matrix'!B55*'Corr. Matrix'!E21</f>
        <v>4.7927046323129798E-3</v>
      </c>
      <c r="E20" s="35">
        <f ca="1">'Corr. Matrix'!B$43*'Corr. Matrix'!B55*'Corr. Matrix'!F21</f>
        <v>3.743946604852453E-3</v>
      </c>
      <c r="F20" s="35">
        <f ca="1">'Corr. Matrix'!B$44*'Corr. Matrix'!B55*'Corr. Matrix'!G21</f>
        <v>4.0227218236659149E-3</v>
      </c>
      <c r="G20" s="35">
        <f ca="1">'Corr. Matrix'!B$45*'Corr. Matrix'!B55*'Corr. Matrix'!H21</f>
        <v>1.8121875034209118E-3</v>
      </c>
      <c r="H20" s="35">
        <f ca="1">'Corr. Matrix'!B$46*'Corr. Matrix'!B55*'Corr. Matrix'!I21</f>
        <v>2.5621896721292367E-3</v>
      </c>
      <c r="I20" s="35">
        <f ca="1">'Corr. Matrix'!B$47*'Corr. Matrix'!B55*'Corr. Matrix'!J21</f>
        <v>2.448359499776411E-3</v>
      </c>
      <c r="J20" s="35">
        <f ca="1">'Corr. Matrix'!B$48*'Corr. Matrix'!B55*'Corr. Matrix'!K21</f>
        <v>3.1179683150763748E-3</v>
      </c>
      <c r="K20" s="35">
        <f ca="1">'Corr. Matrix'!B$49*'Corr. Matrix'!B55*'Corr. Matrix'!L21</f>
        <v>1.9002885959651366E-3</v>
      </c>
      <c r="L20" s="35">
        <f ca="1">'Corr. Matrix'!B$50*'Corr. Matrix'!B55*'Corr. Matrix'!M21</f>
        <v>2.8484005250447486E-3</v>
      </c>
      <c r="M20" s="35">
        <f ca="1">'Corr. Matrix'!B$51*'Corr. Matrix'!B55*'Corr. Matrix'!N21</f>
        <v>1.7036461858099309E-5</v>
      </c>
      <c r="N20" s="35">
        <f ca="1">'Corr. Matrix'!B$52*'Corr. Matrix'!B55*'Corr. Matrix'!O21</f>
        <v>1.6073985811591912E-3</v>
      </c>
      <c r="O20" s="35">
        <f ca="1">'Corr. Matrix'!B$53*'Corr. Matrix'!B55*'Corr. Matrix'!P21</f>
        <v>2.5191780844582875E-3</v>
      </c>
      <c r="P20" s="35">
        <f ca="1">'Corr. Matrix'!B$54*'Corr. Matrix'!B55*'Corr. Matrix'!Q21</f>
        <v>2.7617024727586526E-4</v>
      </c>
      <c r="Q20" s="35">
        <f ca="1">'Corr. Matrix'!B$55*'Corr. Matrix'!B55*'Corr. Matrix'!R21</f>
        <v>5.4833926087566268E-3</v>
      </c>
      <c r="R20" s="35" cm="1">
        <f t="array" aca="1" ref="R20:AE20" ca="1">TRANSPOSE(Q21:Q34)</f>
        <v>1.336662456968238E-3</v>
      </c>
      <c r="S20" s="35">
        <f ca="1"/>
        <v>1.7834912770719543E-3</v>
      </c>
      <c r="T20" s="35">
        <f ca="1"/>
        <v>2.0340029001453784E-3</v>
      </c>
      <c r="U20" s="35">
        <f ca="1"/>
        <v>2.7450421205666561E-3</v>
      </c>
      <c r="V20" s="35">
        <f ca="1"/>
        <v>2.1842566563062692E-3</v>
      </c>
      <c r="W20" s="35">
        <f ca="1"/>
        <v>1.7512232321729923E-3</v>
      </c>
      <c r="X20" s="35">
        <f ca="1"/>
        <v>1.1483545212756263E-3</v>
      </c>
      <c r="Y20" s="35">
        <f ca="1"/>
        <v>1.456405016048577E-3</v>
      </c>
      <c r="Z20" s="35">
        <f ca="1"/>
        <v>2.0813469830277009E-3</v>
      </c>
      <c r="AA20" s="35">
        <f ca="1"/>
        <v>1.575245354611004E-3</v>
      </c>
      <c r="AB20" s="35">
        <f ca="1"/>
        <v>1.6768302165523488E-3</v>
      </c>
      <c r="AC20" s="35">
        <f ca="1"/>
        <v>1.0323009511089228E-3</v>
      </c>
      <c r="AD20" s="35">
        <f ca="1"/>
        <v>5.7573418166351794E-4</v>
      </c>
      <c r="AE20" s="35">
        <f ca="1"/>
        <v>9.0329369435181162E-4</v>
      </c>
    </row>
    <row r="21" spans="1:31" x14ac:dyDescent="0.25">
      <c r="A21" s="30" t="str">
        <f>'Corr. Matrix'!B22</f>
        <v>ibm</v>
      </c>
      <c r="B21" s="35">
        <f ca="1">'Corr. Matrix'!B56*'Corr. Matrix'!B$40*'Corr. Matrix'!C22</f>
        <v>4.3439849127838032E-5</v>
      </c>
      <c r="C21" s="35">
        <f ca="1">'Corr. Matrix'!B$41*'Corr. Matrix'!B56*'Corr. Matrix'!D22</f>
        <v>2.1718657214892163E-3</v>
      </c>
      <c r="D21" s="35">
        <f ca="1">'Corr. Matrix'!B$42*'Corr. Matrix'!B56*'Corr. Matrix'!E22</f>
        <v>6.7463772616628765E-4</v>
      </c>
      <c r="E21" s="35">
        <f ca="1">'Corr. Matrix'!B$43*'Corr. Matrix'!B56*'Corr. Matrix'!F22</f>
        <v>1.0606124572306436E-3</v>
      </c>
      <c r="F21" s="35">
        <f ca="1">'Corr. Matrix'!B$44*'Corr. Matrix'!B56*'Corr. Matrix'!G22</f>
        <v>1.8688041619781051E-3</v>
      </c>
      <c r="G21" s="35">
        <f ca="1">'Corr. Matrix'!B$45*'Corr. Matrix'!B56*'Corr. Matrix'!H22</f>
        <v>6.5145935979074978E-4</v>
      </c>
      <c r="H21" s="35">
        <f ca="1">'Corr. Matrix'!B$46*'Corr. Matrix'!B56*'Corr. Matrix'!I22</f>
        <v>1.5029691724166073E-3</v>
      </c>
      <c r="I21" s="35">
        <f ca="1">'Corr. Matrix'!B$47*'Corr. Matrix'!B56*'Corr. Matrix'!J22</f>
        <v>2.0284456557464275E-3</v>
      </c>
      <c r="J21" s="35">
        <f ca="1">'Corr. Matrix'!B$48*'Corr. Matrix'!B56*'Corr. Matrix'!K22</f>
        <v>1.1532919910230207E-3</v>
      </c>
      <c r="K21" s="35">
        <f ca="1">'Corr. Matrix'!B$49*'Corr. Matrix'!B56*'Corr. Matrix'!L22</f>
        <v>5.3632355758677895E-4</v>
      </c>
      <c r="L21" s="35">
        <f ca="1">'Corr. Matrix'!B$50*'Corr. Matrix'!B56*'Corr. Matrix'!M22</f>
        <v>3.0147623038020975E-3</v>
      </c>
      <c r="M21" s="35">
        <f ca="1">'Corr. Matrix'!B$51*'Corr. Matrix'!B56*'Corr. Matrix'!N22</f>
        <v>5.4098271454863962E-4</v>
      </c>
      <c r="N21" s="35">
        <f ca="1">'Corr. Matrix'!B$52*'Corr. Matrix'!B56*'Corr. Matrix'!O22</f>
        <v>5.1049505418167621E-4</v>
      </c>
      <c r="O21" s="35">
        <f ca="1">'Corr. Matrix'!B$53*'Corr. Matrix'!B56*'Corr. Matrix'!P22</f>
        <v>2.2954950110837275E-3</v>
      </c>
      <c r="P21" s="35">
        <f ca="1">'Corr. Matrix'!B$54*'Corr. Matrix'!B56*'Corr. Matrix'!Q22</f>
        <v>3.9350447972249635E-4</v>
      </c>
      <c r="Q21" s="35">
        <f ca="1">'Corr. Matrix'!B$55*'Corr. Matrix'!B56*'Corr. Matrix'!R22</f>
        <v>1.336662456968238E-3</v>
      </c>
      <c r="R21" s="35">
        <f ca="1">'Corr. Matrix'!B$56*'Corr. Matrix'!B56*'Corr. Matrix'!S22</f>
        <v>5.0053265825755582E-3</v>
      </c>
      <c r="S21" s="35" cm="1">
        <f t="array" aca="1" ref="S21:AE21" ca="1">TRANSPOSE(R22:R34)</f>
        <v>7.0185928667173538E-4</v>
      </c>
      <c r="T21" s="35">
        <f ca="1"/>
        <v>1.759469339847312E-3</v>
      </c>
      <c r="U21" s="35">
        <f ca="1"/>
        <v>1.8254702328495596E-3</v>
      </c>
      <c r="V21" s="35">
        <f ca="1"/>
        <v>1.6932707509775581E-3</v>
      </c>
      <c r="W21" s="35">
        <f ca="1"/>
        <v>2.1408877347491137E-3</v>
      </c>
      <c r="X21" s="35">
        <f ca="1"/>
        <v>1.3036477776677078E-3</v>
      </c>
      <c r="Y21" s="35">
        <f ca="1"/>
        <v>1.2537757652888457E-3</v>
      </c>
      <c r="Z21" s="35">
        <f ca="1"/>
        <v>1.692393692104547E-3</v>
      </c>
      <c r="AA21" s="35">
        <f ca="1"/>
        <v>7.1489796993014438E-4</v>
      </c>
      <c r="AB21" s="35">
        <f ca="1"/>
        <v>8.8516897480111036E-4</v>
      </c>
      <c r="AC21" s="35">
        <f ca="1"/>
        <v>1.1321165499304016E-3</v>
      </c>
      <c r="AD21" s="35">
        <f ca="1"/>
        <v>1.1779514829822991E-3</v>
      </c>
      <c r="AE21" s="35">
        <f ca="1"/>
        <v>9.5510459834881821E-4</v>
      </c>
    </row>
    <row r="22" spans="1:31" x14ac:dyDescent="0.25">
      <c r="A22" s="30" t="str">
        <f>'Corr. Matrix'!B23</f>
        <v>aapl</v>
      </c>
      <c r="B22" s="35">
        <f ca="1">'Corr. Matrix'!B57*'Corr. Matrix'!B$40*'Corr. Matrix'!C23</f>
        <v>6.6741254540617157E-3</v>
      </c>
      <c r="C22" s="35">
        <f ca="1">'Corr. Matrix'!B$41*'Corr. Matrix'!B57*'Corr. Matrix'!D23</f>
        <v>2.6749429441867284E-3</v>
      </c>
      <c r="D22" s="35">
        <f ca="1">'Corr. Matrix'!B$42*'Corr. Matrix'!B57*'Corr. Matrix'!E23</f>
        <v>5.1979458039664878E-3</v>
      </c>
      <c r="E22" s="35">
        <f ca="1">'Corr. Matrix'!B$43*'Corr. Matrix'!B57*'Corr. Matrix'!F23</f>
        <v>1.4993182730300343E-3</v>
      </c>
      <c r="F22" s="35">
        <f ca="1">'Corr. Matrix'!B$44*'Corr. Matrix'!B57*'Corr. Matrix'!G23</f>
        <v>1.8732198039909951E-3</v>
      </c>
      <c r="G22" s="35">
        <f ca="1">'Corr. Matrix'!B$45*'Corr. Matrix'!B57*'Corr. Matrix'!H23</f>
        <v>3.3439621892100155E-3</v>
      </c>
      <c r="H22" s="35">
        <f ca="1">'Corr. Matrix'!B$46*'Corr. Matrix'!B57*'Corr. Matrix'!I23</f>
        <v>2.2691824190891698E-3</v>
      </c>
      <c r="I22" s="35">
        <f ca="1">'Corr. Matrix'!B$47*'Corr. Matrix'!B57*'Corr. Matrix'!J23</f>
        <v>2.1969516453162192E-3</v>
      </c>
      <c r="J22" s="35">
        <f ca="1">'Corr. Matrix'!B$48*'Corr. Matrix'!B57*'Corr. Matrix'!K23</f>
        <v>2.3291660083292255E-3</v>
      </c>
      <c r="K22" s="35">
        <f ca="1">'Corr. Matrix'!B$49*'Corr. Matrix'!B57*'Corr. Matrix'!L23</f>
        <v>2.4532663644320171E-3</v>
      </c>
      <c r="L22" s="35">
        <f ca="1">'Corr. Matrix'!B$50*'Corr. Matrix'!B57*'Corr. Matrix'!M23</f>
        <v>1.7447846471987849E-3</v>
      </c>
      <c r="M22" s="35">
        <f ca="1">'Corr. Matrix'!B$51*'Corr. Matrix'!B57*'Corr. Matrix'!N23</f>
        <v>1.3855658790847885E-3</v>
      </c>
      <c r="N22" s="35">
        <f ca="1">'Corr. Matrix'!B$52*'Corr. Matrix'!B57*'Corr. Matrix'!O23</f>
        <v>2.629836662219723E-3</v>
      </c>
      <c r="O22" s="35">
        <f ca="1">'Corr. Matrix'!B$53*'Corr. Matrix'!B57*'Corr. Matrix'!P23</f>
        <v>2.1199857396125388E-3</v>
      </c>
      <c r="P22" s="35">
        <f ca="1">'Corr. Matrix'!B$54*'Corr. Matrix'!B57*'Corr. Matrix'!Q23</f>
        <v>2.5522831665824268E-4</v>
      </c>
      <c r="Q22" s="35">
        <f ca="1">'Corr. Matrix'!B$55*'Corr. Matrix'!B57*'Corr. Matrix'!R23</f>
        <v>1.7834912770719543E-3</v>
      </c>
      <c r="R22" s="35">
        <f ca="1">'Corr. Matrix'!B$56*'Corr. Matrix'!B57*'Corr. Matrix'!S23</f>
        <v>7.0185928667173538E-4</v>
      </c>
      <c r="S22" s="35">
        <f ca="1">'Corr. Matrix'!B$57*'Corr. Matrix'!B57*'Corr. Matrix'!T23</f>
        <v>5.0028315130674047E-3</v>
      </c>
      <c r="T22" s="35" cm="1">
        <f t="array" aca="1" ref="T22:AE22" ca="1">TRANSPOSE(S23:S34)</f>
        <v>1.8083800285343711E-3</v>
      </c>
      <c r="U22" s="35">
        <f ca="1"/>
        <v>9.6998202878748486E-4</v>
      </c>
      <c r="V22" s="35">
        <f ca="1"/>
        <v>1.2918035741645239E-3</v>
      </c>
      <c r="W22" s="35">
        <f ca="1"/>
        <v>4.8550492215215893E-4</v>
      </c>
      <c r="X22" s="35">
        <f ca="1"/>
        <v>1.2743329321506999E-3</v>
      </c>
      <c r="Y22" s="35">
        <f ca="1"/>
        <v>1.4612876481159456E-3</v>
      </c>
      <c r="Z22" s="35">
        <f ca="1"/>
        <v>1.5515221448625406E-3</v>
      </c>
      <c r="AA22" s="35">
        <f ca="1"/>
        <v>2.2230549527225496E-3</v>
      </c>
      <c r="AB22" s="35">
        <f ca="1"/>
        <v>1.4937846932345509E-3</v>
      </c>
      <c r="AC22" s="35">
        <f ca="1"/>
        <v>1.4057251116443346E-3</v>
      </c>
      <c r="AD22" s="35">
        <f ca="1"/>
        <v>8.6195508430027289E-4</v>
      </c>
      <c r="AE22" s="35">
        <f ca="1"/>
        <v>1.4946357644781048E-3</v>
      </c>
    </row>
    <row r="23" spans="1:31" x14ac:dyDescent="0.25">
      <c r="A23" s="30" t="str">
        <f>'Corr. Matrix'!B24</f>
        <v>hd</v>
      </c>
      <c r="B23" s="35">
        <f ca="1">'Corr. Matrix'!B58*'Corr. Matrix'!B$40*'Corr. Matrix'!C24</f>
        <v>3.3737315992634397E-3</v>
      </c>
      <c r="C23" s="35">
        <f ca="1">'Corr. Matrix'!B$41*'Corr. Matrix'!B58*'Corr. Matrix'!D24</f>
        <v>2.9690526120128508E-3</v>
      </c>
      <c r="D23" s="35">
        <f ca="1">'Corr. Matrix'!B$42*'Corr. Matrix'!B58*'Corr. Matrix'!E24</f>
        <v>3.3456554044879109E-3</v>
      </c>
      <c r="E23" s="35">
        <f ca="1">'Corr. Matrix'!B$43*'Corr. Matrix'!B58*'Corr. Matrix'!F24</f>
        <v>2.875312738801337E-3</v>
      </c>
      <c r="F23" s="35">
        <f ca="1">'Corr. Matrix'!B$44*'Corr. Matrix'!B58*'Corr. Matrix'!G24</f>
        <v>3.2335857223473293E-3</v>
      </c>
      <c r="G23" s="35">
        <f ca="1">'Corr. Matrix'!B$45*'Corr. Matrix'!B58*'Corr. Matrix'!H24</f>
        <v>3.6620747825305937E-3</v>
      </c>
      <c r="H23" s="35">
        <f ca="1">'Corr. Matrix'!B$46*'Corr. Matrix'!B58*'Corr. Matrix'!I24</f>
        <v>4.3326963898776827E-3</v>
      </c>
      <c r="I23" s="35">
        <f ca="1">'Corr. Matrix'!B$47*'Corr. Matrix'!B58*'Corr. Matrix'!J24</f>
        <v>3.517898246146275E-3</v>
      </c>
      <c r="J23" s="35">
        <f ca="1">'Corr. Matrix'!B$48*'Corr. Matrix'!B58*'Corr. Matrix'!K24</f>
        <v>2.34915859653735E-3</v>
      </c>
      <c r="K23" s="35">
        <f ca="1">'Corr. Matrix'!B$49*'Corr. Matrix'!B58*'Corr. Matrix'!L24</f>
        <v>1.5782991620826034E-3</v>
      </c>
      <c r="L23" s="35">
        <f ca="1">'Corr. Matrix'!B$50*'Corr. Matrix'!B58*'Corr. Matrix'!M24</f>
        <v>3.101032919770973E-3</v>
      </c>
      <c r="M23" s="35">
        <f ca="1">'Corr. Matrix'!B$51*'Corr. Matrix'!B58*'Corr. Matrix'!N24</f>
        <v>-8.6225650739523297E-5</v>
      </c>
      <c r="N23" s="35">
        <f ca="1">'Corr. Matrix'!B$52*'Corr. Matrix'!B58*'Corr. Matrix'!O24</f>
        <v>1.047808199447903E-3</v>
      </c>
      <c r="O23" s="35">
        <f ca="1">'Corr. Matrix'!B$53*'Corr. Matrix'!B58*'Corr. Matrix'!P24</f>
        <v>2.8414369958037621E-3</v>
      </c>
      <c r="P23" s="35">
        <f ca="1">'Corr. Matrix'!B$54*'Corr. Matrix'!B58*'Corr. Matrix'!Q24</f>
        <v>4.7802517339860432E-4</v>
      </c>
      <c r="Q23" s="35">
        <f ca="1">'Corr. Matrix'!B$55*'Corr. Matrix'!B58*'Corr. Matrix'!R24</f>
        <v>2.0340029001453784E-3</v>
      </c>
      <c r="R23" s="35">
        <f ca="1">'Corr. Matrix'!B$56*'Corr. Matrix'!B58*'Corr. Matrix'!S24</f>
        <v>1.759469339847312E-3</v>
      </c>
      <c r="S23" s="35">
        <f ca="1">'Corr. Matrix'!B$57*'Corr. Matrix'!B58*'Corr. Matrix'!T24</f>
        <v>1.8083800285343711E-3</v>
      </c>
      <c r="T23" s="35">
        <f ca="1">'Corr. Matrix'!B$58*'Corr. Matrix'!B58*'Corr. Matrix'!U24</f>
        <v>4.7261445293078023E-3</v>
      </c>
      <c r="U23" s="35" cm="1">
        <f t="array" aca="1" ref="U23:AE23" ca="1">TRANSPOSE(T24:T34)</f>
        <v>2.175104181597518E-3</v>
      </c>
      <c r="V23" s="35">
        <f ca="1"/>
        <v>2.0838231801912047E-3</v>
      </c>
      <c r="W23" s="35">
        <f ca="1"/>
        <v>1.1740587156200014E-3</v>
      </c>
      <c r="X23" s="35">
        <f ca="1"/>
        <v>1.1872231324095957E-3</v>
      </c>
      <c r="Y23" s="35">
        <f ca="1"/>
        <v>1.8001587928585822E-3</v>
      </c>
      <c r="Z23" s="35">
        <f ca="1"/>
        <v>2.003772408947513E-3</v>
      </c>
      <c r="AA23" s="35">
        <f ca="1"/>
        <v>1.7617003704764808E-3</v>
      </c>
      <c r="AB23" s="35">
        <f ca="1"/>
        <v>1.8019475580125629E-3</v>
      </c>
      <c r="AC23" s="35">
        <f ca="1"/>
        <v>1.4941559113542705E-3</v>
      </c>
      <c r="AD23" s="35">
        <f ca="1"/>
        <v>7.4620568007550177E-4</v>
      </c>
      <c r="AE23" s="35">
        <f ca="1"/>
        <v>1.7311416631385032E-3</v>
      </c>
    </row>
    <row r="24" spans="1:31" x14ac:dyDescent="0.25">
      <c r="A24" s="30" t="str">
        <f>'Corr. Matrix'!B25</f>
        <v>jpm</v>
      </c>
      <c r="B24" s="35">
        <f ca="1">'Corr. Matrix'!B59*'Corr. Matrix'!B$40*'Corr. Matrix'!C25</f>
        <v>1.6360103405854635E-3</v>
      </c>
      <c r="C24" s="35">
        <f ca="1">'Corr. Matrix'!B$41*'Corr. Matrix'!B59*'Corr. Matrix'!D25</f>
        <v>6.5287481755497718E-3</v>
      </c>
      <c r="D24" s="35">
        <f ca="1">'Corr. Matrix'!B$42*'Corr. Matrix'!B59*'Corr. Matrix'!E25</f>
        <v>3.9897257238345994E-3</v>
      </c>
      <c r="E24" s="35">
        <f ca="1">'Corr. Matrix'!B$43*'Corr. Matrix'!B59*'Corr. Matrix'!F25</f>
        <v>4.7405977225405023E-3</v>
      </c>
      <c r="F24" s="35">
        <f ca="1">'Corr. Matrix'!B$44*'Corr. Matrix'!B59*'Corr. Matrix'!G25</f>
        <v>2.1507343508906499E-3</v>
      </c>
      <c r="G24" s="35">
        <f ca="1">'Corr. Matrix'!B$45*'Corr. Matrix'!B59*'Corr. Matrix'!H25</f>
        <v>3.8134643436069258E-3</v>
      </c>
      <c r="H24" s="35">
        <f ca="1">'Corr. Matrix'!B$46*'Corr. Matrix'!B59*'Corr. Matrix'!I25</f>
        <v>3.5403852482509576E-3</v>
      </c>
      <c r="I24" s="35">
        <f ca="1">'Corr. Matrix'!B$47*'Corr. Matrix'!B59*'Corr. Matrix'!J25</f>
        <v>2.0554403430520091E-3</v>
      </c>
      <c r="J24" s="35">
        <f ca="1">'Corr. Matrix'!B$48*'Corr. Matrix'!B59*'Corr. Matrix'!K25</f>
        <v>3.0822560744605664E-3</v>
      </c>
      <c r="K24" s="35">
        <f ca="1">'Corr. Matrix'!B$49*'Corr. Matrix'!B59*'Corr. Matrix'!L25</f>
        <v>1.162839403859799E-3</v>
      </c>
      <c r="L24" s="35">
        <f ca="1">'Corr. Matrix'!B$50*'Corr. Matrix'!B59*'Corr. Matrix'!M25</f>
        <v>4.1754761101441351E-3</v>
      </c>
      <c r="M24" s="35">
        <f ca="1">'Corr. Matrix'!B$51*'Corr. Matrix'!B59*'Corr. Matrix'!N25</f>
        <v>9.6336441955278791E-5</v>
      </c>
      <c r="N24" s="35">
        <f ca="1">'Corr. Matrix'!B$52*'Corr. Matrix'!B59*'Corr. Matrix'!O25</f>
        <v>1.5748419442426281E-3</v>
      </c>
      <c r="O24" s="35">
        <f ca="1">'Corr. Matrix'!B$53*'Corr. Matrix'!B59*'Corr. Matrix'!P25</f>
        <v>2.943869553611431E-3</v>
      </c>
      <c r="P24" s="35">
        <f ca="1">'Corr. Matrix'!B$54*'Corr. Matrix'!B59*'Corr. Matrix'!Q25</f>
        <v>1.79959735228927E-3</v>
      </c>
      <c r="Q24" s="35">
        <f ca="1">'Corr. Matrix'!B$55*'Corr. Matrix'!B59*'Corr. Matrix'!R25</f>
        <v>2.7450421205666561E-3</v>
      </c>
      <c r="R24" s="35">
        <f ca="1">'Corr. Matrix'!B$56*'Corr. Matrix'!B59*'Corr. Matrix'!S25</f>
        <v>1.8254702328495596E-3</v>
      </c>
      <c r="S24" s="35">
        <f ca="1">'Corr. Matrix'!B$57*'Corr. Matrix'!B59*'Corr. Matrix'!T25</f>
        <v>9.6998202878748486E-4</v>
      </c>
      <c r="T24" s="35">
        <f ca="1">'Corr. Matrix'!B$58*'Corr. Matrix'!B59*'Corr. Matrix'!U25</f>
        <v>2.175104181597518E-3</v>
      </c>
      <c r="U24" s="35">
        <f ca="1">'Corr. Matrix'!B$59*'Corr. Matrix'!B59*'Corr. Matrix'!V25</f>
        <v>4.6447975280802392E-3</v>
      </c>
      <c r="V24" s="35" cm="1">
        <f t="array" aca="1" ref="V24:AE24" ca="1">TRANSPOSE(U25:U34)</f>
        <v>3.3039701304515066E-3</v>
      </c>
      <c r="W24" s="35">
        <f ca="1"/>
        <v>1.1093289171831685E-3</v>
      </c>
      <c r="X24" s="35">
        <f ca="1"/>
        <v>6.1192330619265739E-4</v>
      </c>
      <c r="Y24" s="35">
        <f ca="1"/>
        <v>3.7365800070284324E-4</v>
      </c>
      <c r="Z24" s="35">
        <f ca="1"/>
        <v>2.014762325051489E-3</v>
      </c>
      <c r="AA24" s="35">
        <f ca="1"/>
        <v>1.3118577366641735E-3</v>
      </c>
      <c r="AB24" s="35">
        <f ca="1"/>
        <v>1.4132568416969358E-3</v>
      </c>
      <c r="AC24" s="35">
        <f ca="1"/>
        <v>8.9321031857099572E-4</v>
      </c>
      <c r="AD24" s="35">
        <f ca="1"/>
        <v>5.8406395761508034E-4</v>
      </c>
      <c r="AE24" s="35">
        <f ca="1"/>
        <v>8.4813445008796848E-4</v>
      </c>
    </row>
    <row r="25" spans="1:31" x14ac:dyDescent="0.25">
      <c r="A25" s="30" t="str">
        <f>'Corr. Matrix'!B26</f>
        <v>pru</v>
      </c>
      <c r="B25" s="35">
        <f ca="1">'Corr. Matrix'!B60*'Corr. Matrix'!B$40*'Corr. Matrix'!C26</f>
        <v>1.3887162588149518E-3</v>
      </c>
      <c r="C25" s="35">
        <f ca="1">'Corr. Matrix'!B$41*'Corr. Matrix'!B60*'Corr. Matrix'!D26</f>
        <v>5.8061905102108754E-3</v>
      </c>
      <c r="D25" s="35">
        <f ca="1">'Corr. Matrix'!B$42*'Corr. Matrix'!B60*'Corr. Matrix'!E26</f>
        <v>2.3457739838365359E-3</v>
      </c>
      <c r="E25" s="35">
        <f ca="1">'Corr. Matrix'!B$43*'Corr. Matrix'!B60*'Corr. Matrix'!F26</f>
        <v>4.5432698637639683E-3</v>
      </c>
      <c r="F25" s="35">
        <f ca="1">'Corr. Matrix'!B$44*'Corr. Matrix'!B60*'Corr. Matrix'!G26</f>
        <v>1.6377558937152287E-4</v>
      </c>
      <c r="G25" s="35">
        <f ca="1">'Corr. Matrix'!B$45*'Corr. Matrix'!B60*'Corr. Matrix'!H26</f>
        <v>3.561106250211608E-3</v>
      </c>
      <c r="H25" s="35">
        <f ca="1">'Corr. Matrix'!B$46*'Corr. Matrix'!B60*'Corr. Matrix'!I26</f>
        <v>4.9901558186869199E-3</v>
      </c>
      <c r="I25" s="35">
        <f ca="1">'Corr. Matrix'!B$47*'Corr. Matrix'!B60*'Corr. Matrix'!J26</f>
        <v>2.1698222129617022E-3</v>
      </c>
      <c r="J25" s="35">
        <f ca="1">'Corr. Matrix'!B$48*'Corr. Matrix'!B60*'Corr. Matrix'!K26</f>
        <v>2.3854031318569918E-3</v>
      </c>
      <c r="K25" s="35">
        <f ca="1">'Corr. Matrix'!B$49*'Corr. Matrix'!B60*'Corr. Matrix'!L26</f>
        <v>1.1034985748096281E-3</v>
      </c>
      <c r="L25" s="35">
        <f ca="1">'Corr. Matrix'!B$50*'Corr. Matrix'!B60*'Corr. Matrix'!M26</f>
        <v>4.2161649799100686E-3</v>
      </c>
      <c r="M25" s="35">
        <f ca="1">'Corr. Matrix'!B$51*'Corr. Matrix'!B60*'Corr. Matrix'!N26</f>
        <v>3.4200144254572525E-5</v>
      </c>
      <c r="N25" s="35">
        <f ca="1">'Corr. Matrix'!B$52*'Corr. Matrix'!B60*'Corr. Matrix'!O26</f>
        <v>1.1887394229225612E-3</v>
      </c>
      <c r="O25" s="35">
        <f ca="1">'Corr. Matrix'!B$53*'Corr. Matrix'!B60*'Corr. Matrix'!P26</f>
        <v>2.9182502835876614E-3</v>
      </c>
      <c r="P25" s="35">
        <f ca="1">'Corr. Matrix'!B$54*'Corr. Matrix'!B60*'Corr. Matrix'!Q26</f>
        <v>2.7994947615020797E-3</v>
      </c>
      <c r="Q25" s="35">
        <f ca="1">'Corr. Matrix'!B$55*'Corr. Matrix'!B60*'Corr. Matrix'!R26</f>
        <v>2.1842566563062692E-3</v>
      </c>
      <c r="R25" s="35">
        <f ca="1">'Corr. Matrix'!B$56*'Corr. Matrix'!B60*'Corr. Matrix'!S26</f>
        <v>1.6932707509775581E-3</v>
      </c>
      <c r="S25" s="35">
        <f ca="1">'Corr. Matrix'!B$57*'Corr. Matrix'!B60*'Corr. Matrix'!T26</f>
        <v>1.2918035741645239E-3</v>
      </c>
      <c r="T25" s="35">
        <f ca="1">'Corr. Matrix'!B$58*'Corr. Matrix'!B60*'Corr. Matrix'!U26</f>
        <v>2.0838231801912047E-3</v>
      </c>
      <c r="U25" s="35">
        <f ca="1">'Corr. Matrix'!B$59*'Corr. Matrix'!B60*'Corr. Matrix'!V26</f>
        <v>3.3039701304515066E-3</v>
      </c>
      <c r="V25" s="35">
        <f ca="1">'Corr. Matrix'!B$60*'Corr. Matrix'!B60*'Corr. Matrix'!W26</f>
        <v>4.576585664291177E-3</v>
      </c>
      <c r="W25" s="35" cm="1">
        <f t="array" aca="1" ref="W25:AE25" ca="1">TRANSPOSE(V26:V34)</f>
        <v>1.4505100300623631E-3</v>
      </c>
      <c r="X25" s="35">
        <f ca="1"/>
        <v>1.173109196468099E-3</v>
      </c>
      <c r="Y25" s="35">
        <f ca="1"/>
        <v>6.9601813092156131E-4</v>
      </c>
      <c r="Z25" s="35">
        <f ca="1"/>
        <v>2.2228210838917493E-3</v>
      </c>
      <c r="AA25" s="35">
        <f ca="1"/>
        <v>5.8776585906608267E-4</v>
      </c>
      <c r="AB25" s="35">
        <f ca="1"/>
        <v>1.4652066135218435E-3</v>
      </c>
      <c r="AC25" s="35">
        <f ca="1"/>
        <v>1.1274969981114283E-3</v>
      </c>
      <c r="AD25" s="35">
        <f ca="1"/>
        <v>1.0312107758525203E-3</v>
      </c>
      <c r="AE25" s="35">
        <f ca="1"/>
        <v>1.0986826991062385E-3</v>
      </c>
    </row>
    <row r="26" spans="1:31" x14ac:dyDescent="0.25">
      <c r="A26" s="30" t="str">
        <f>'Corr. Matrix'!B27</f>
        <v>t</v>
      </c>
      <c r="B26" s="35">
        <f ca="1">'Corr. Matrix'!B61*'Corr. Matrix'!B$40*'Corr. Matrix'!C27</f>
        <v>-2.136645726552385E-3</v>
      </c>
      <c r="C26" s="35">
        <f ca="1">'Corr. Matrix'!B$41*'Corr. Matrix'!B61*'Corr. Matrix'!D27</f>
        <v>1.7693959443762619E-3</v>
      </c>
      <c r="D26" s="35">
        <f ca="1">'Corr. Matrix'!B$42*'Corr. Matrix'!B61*'Corr. Matrix'!E27</f>
        <v>-5.4662602086713228E-4</v>
      </c>
      <c r="E26" s="35">
        <f ca="1">'Corr. Matrix'!B$43*'Corr. Matrix'!B61*'Corr. Matrix'!F27</f>
        <v>1.9289933693381533E-3</v>
      </c>
      <c r="F26" s="35">
        <f ca="1">'Corr. Matrix'!B$44*'Corr. Matrix'!B61*'Corr. Matrix'!G27</f>
        <v>5.4536984974579031E-4</v>
      </c>
      <c r="G26" s="35">
        <f ca="1">'Corr. Matrix'!B$45*'Corr. Matrix'!B61*'Corr. Matrix'!H27</f>
        <v>7.8067665115459694E-4</v>
      </c>
      <c r="H26" s="35">
        <f ca="1">'Corr. Matrix'!B$46*'Corr. Matrix'!B61*'Corr. Matrix'!I27</f>
        <v>1.2916744620217354E-3</v>
      </c>
      <c r="I26" s="35">
        <f ca="1">'Corr. Matrix'!B$47*'Corr. Matrix'!B61*'Corr. Matrix'!J27</f>
        <v>1.0655106707336795E-3</v>
      </c>
      <c r="J26" s="35">
        <f ca="1">'Corr. Matrix'!B$48*'Corr. Matrix'!B61*'Corr. Matrix'!K27</f>
        <v>9.5512733149234036E-4</v>
      </c>
      <c r="K26" s="35">
        <f ca="1">'Corr. Matrix'!B$49*'Corr. Matrix'!B61*'Corr. Matrix'!L27</f>
        <v>1.0790181542252519E-3</v>
      </c>
      <c r="L26" s="35">
        <f ca="1">'Corr. Matrix'!B$50*'Corr. Matrix'!B61*'Corr. Matrix'!M27</f>
        <v>1.1133939654985867E-3</v>
      </c>
      <c r="M26" s="35">
        <f ca="1">'Corr. Matrix'!B$51*'Corr. Matrix'!B61*'Corr. Matrix'!N27</f>
        <v>1.3188337167494203E-4</v>
      </c>
      <c r="N26" s="35">
        <f ca="1">'Corr. Matrix'!B$52*'Corr. Matrix'!B61*'Corr. Matrix'!O27</f>
        <v>-5.8242171245874419E-4</v>
      </c>
      <c r="O26" s="35">
        <f ca="1">'Corr. Matrix'!B$53*'Corr. Matrix'!B61*'Corr. Matrix'!P27</f>
        <v>1.4431311198553525E-3</v>
      </c>
      <c r="P26" s="35">
        <f ca="1">'Corr. Matrix'!B$54*'Corr. Matrix'!B61*'Corr. Matrix'!Q27</f>
        <v>1.5764953152606035E-3</v>
      </c>
      <c r="Q26" s="35">
        <f ca="1">'Corr. Matrix'!B$55*'Corr. Matrix'!B61*'Corr. Matrix'!R27</f>
        <v>1.7512232321729923E-3</v>
      </c>
      <c r="R26" s="35">
        <f ca="1">'Corr. Matrix'!B$56*'Corr. Matrix'!B61*'Corr. Matrix'!S27</f>
        <v>2.1408877347491137E-3</v>
      </c>
      <c r="S26" s="35">
        <f ca="1">'Corr. Matrix'!B$57*'Corr. Matrix'!B61*'Corr. Matrix'!T27</f>
        <v>4.8550492215215893E-4</v>
      </c>
      <c r="T26" s="35">
        <f ca="1">'Corr. Matrix'!B$58*'Corr. Matrix'!B61*'Corr. Matrix'!U27</f>
        <v>1.1740587156200014E-3</v>
      </c>
      <c r="U26" s="35">
        <f ca="1">'Corr. Matrix'!B$59*'Corr. Matrix'!B61*'Corr. Matrix'!V27</f>
        <v>1.1093289171831685E-3</v>
      </c>
      <c r="V26" s="35">
        <f ca="1">'Corr. Matrix'!B$60*'Corr. Matrix'!B61*'Corr. Matrix'!W27</f>
        <v>1.4505100300623631E-3</v>
      </c>
      <c r="W26" s="35">
        <f ca="1">'Corr. Matrix'!B$61*'Corr. Matrix'!B61*'Corr. Matrix'!X27</f>
        <v>4.4863538361220893E-3</v>
      </c>
      <c r="X26" s="35" cm="1">
        <f t="array" aca="1" ref="X26:AE26" ca="1">TRANSPOSE(W27:W34)</f>
        <v>1.0970141152962416E-3</v>
      </c>
      <c r="Y26" s="35">
        <f ca="1"/>
        <v>7.956583650649316E-4</v>
      </c>
      <c r="Z26" s="35">
        <f ca="1"/>
        <v>1.8935972913084562E-3</v>
      </c>
      <c r="AA26" s="35">
        <f ca="1"/>
        <v>2.8311136349175125E-5</v>
      </c>
      <c r="AB26" s="35">
        <f ca="1"/>
        <v>1.677087498275001E-3</v>
      </c>
      <c r="AC26" s="35">
        <f ca="1"/>
        <v>5.4074327360424061E-4</v>
      </c>
      <c r="AD26" s="35">
        <f ca="1"/>
        <v>1.1757492535132152E-3</v>
      </c>
      <c r="AE26" s="35">
        <f ca="1"/>
        <v>1.4054445271061058E-3</v>
      </c>
    </row>
    <row r="27" spans="1:31" x14ac:dyDescent="0.25">
      <c r="A27" s="30" t="str">
        <f>'Corr. Matrix'!B28</f>
        <v>kr</v>
      </c>
      <c r="B27" s="35">
        <f ca="1">'Corr. Matrix'!B62*'Corr. Matrix'!B$40*'Corr. Matrix'!C28</f>
        <v>1.3690399420245576E-3</v>
      </c>
      <c r="C27" s="35">
        <f ca="1">'Corr. Matrix'!B$41*'Corr. Matrix'!B62*'Corr. Matrix'!D28</f>
        <v>1.1781741506588024E-3</v>
      </c>
      <c r="D27" s="35">
        <f ca="1">'Corr. Matrix'!B$42*'Corr. Matrix'!B62*'Corr. Matrix'!E28</f>
        <v>1.9339153241041374E-3</v>
      </c>
      <c r="E27" s="35">
        <f ca="1">'Corr. Matrix'!B$43*'Corr. Matrix'!B62*'Corr. Matrix'!F28</f>
        <v>6.5867351909810903E-4</v>
      </c>
      <c r="F27" s="35">
        <f ca="1">'Corr. Matrix'!B$44*'Corr. Matrix'!B62*'Corr. Matrix'!G28</f>
        <v>1.1881730710208522E-3</v>
      </c>
      <c r="G27" s="35">
        <f ca="1">'Corr. Matrix'!B$45*'Corr. Matrix'!B62*'Corr. Matrix'!H28</f>
        <v>1.4874448877660578E-3</v>
      </c>
      <c r="H27" s="35">
        <f ca="1">'Corr. Matrix'!B$46*'Corr. Matrix'!B62*'Corr. Matrix'!I28</f>
        <v>2.3298136865996639E-3</v>
      </c>
      <c r="I27" s="35">
        <f ca="1">'Corr. Matrix'!B$47*'Corr. Matrix'!B62*'Corr. Matrix'!J28</f>
        <v>9.6492061978102888E-4</v>
      </c>
      <c r="J27" s="35">
        <f ca="1">'Corr. Matrix'!B$48*'Corr. Matrix'!B62*'Corr. Matrix'!K28</f>
        <v>7.2148673628198679E-4</v>
      </c>
      <c r="K27" s="35">
        <f ca="1">'Corr. Matrix'!B$49*'Corr. Matrix'!B62*'Corr. Matrix'!L28</f>
        <v>2.2771987111780815E-3</v>
      </c>
      <c r="L27" s="35">
        <f ca="1">'Corr. Matrix'!B$50*'Corr. Matrix'!B62*'Corr. Matrix'!M28</f>
        <v>1.7482481555992778E-3</v>
      </c>
      <c r="M27" s="35">
        <f ca="1">'Corr. Matrix'!B$51*'Corr. Matrix'!B62*'Corr. Matrix'!N28</f>
        <v>1.0312067455974685E-3</v>
      </c>
      <c r="N27" s="35">
        <f ca="1">'Corr. Matrix'!B$52*'Corr. Matrix'!B62*'Corr. Matrix'!O28</f>
        <v>8.5270816176517047E-4</v>
      </c>
      <c r="O27" s="35">
        <f ca="1">'Corr. Matrix'!B$53*'Corr. Matrix'!B62*'Corr. Matrix'!P28</f>
        <v>1.7160157419242954E-3</v>
      </c>
      <c r="P27" s="35">
        <f ca="1">'Corr. Matrix'!B$54*'Corr. Matrix'!B62*'Corr. Matrix'!Q28</f>
        <v>4.4564280275425922E-4</v>
      </c>
      <c r="Q27" s="35">
        <f ca="1">'Corr. Matrix'!B$55*'Corr. Matrix'!B62*'Corr. Matrix'!R28</f>
        <v>1.1483545212756263E-3</v>
      </c>
      <c r="R27" s="35">
        <f ca="1">'Corr. Matrix'!B$56*'Corr. Matrix'!B62*'Corr. Matrix'!S28</f>
        <v>1.3036477776677078E-3</v>
      </c>
      <c r="S27" s="35">
        <f ca="1">'Corr. Matrix'!B$57*'Corr. Matrix'!B62*'Corr. Matrix'!T28</f>
        <v>1.2743329321506999E-3</v>
      </c>
      <c r="T27" s="35">
        <f ca="1">'Corr. Matrix'!B$58*'Corr. Matrix'!B62*'Corr. Matrix'!U28</f>
        <v>1.1872231324095957E-3</v>
      </c>
      <c r="U27" s="35">
        <f ca="1">'Corr. Matrix'!B$59*'Corr. Matrix'!B62*'Corr. Matrix'!V28</f>
        <v>6.1192330619265739E-4</v>
      </c>
      <c r="V27" s="35">
        <f ca="1">'Corr. Matrix'!B$60*'Corr. Matrix'!B62*'Corr. Matrix'!W28</f>
        <v>1.173109196468099E-3</v>
      </c>
      <c r="W27" s="35">
        <f ca="1">'Corr. Matrix'!B$61*'Corr. Matrix'!B62*'Corr. Matrix'!X28</f>
        <v>1.0970141152962416E-3</v>
      </c>
      <c r="X27" s="35">
        <f ca="1">'Corr. Matrix'!B$62*'Corr. Matrix'!B62*'Corr. Matrix'!Y28</f>
        <v>4.4731921634876036E-3</v>
      </c>
      <c r="Y27" s="35" cm="1">
        <f t="array" aca="1" ref="Y27:AE27" ca="1">TRANSPOSE(X28:X34)</f>
        <v>1.5850408259327805E-3</v>
      </c>
      <c r="Z27" s="35">
        <f ca="1"/>
        <v>4.009801344527148E-4</v>
      </c>
      <c r="AA27" s="35">
        <f ca="1"/>
        <v>1.0320466240089842E-3</v>
      </c>
      <c r="AB27" s="35">
        <f ca="1"/>
        <v>1.5254144858445832E-3</v>
      </c>
      <c r="AC27" s="35">
        <f ca="1"/>
        <v>1.5480335054356875E-3</v>
      </c>
      <c r="AD27" s="35">
        <f ca="1"/>
        <v>8.2242888136558885E-4</v>
      </c>
      <c r="AE27" s="35">
        <f ca="1"/>
        <v>1.0034353769666107E-3</v>
      </c>
    </row>
    <row r="28" spans="1:31" x14ac:dyDescent="0.25">
      <c r="A28" s="30" t="str">
        <f>'Corr. Matrix'!B29</f>
        <v>pfe</v>
      </c>
      <c r="B28" s="35">
        <f ca="1">'Corr. Matrix'!B63*'Corr. Matrix'!B$40*'Corr. Matrix'!C29</f>
        <v>-3.7049428026425925E-4</v>
      </c>
      <c r="C28" s="35">
        <f ca="1">'Corr. Matrix'!B$41*'Corr. Matrix'!B63*'Corr. Matrix'!D29</f>
        <v>-1.9439616349316373E-3</v>
      </c>
      <c r="D28" s="35">
        <f ca="1">'Corr. Matrix'!B$42*'Corr. Matrix'!B63*'Corr. Matrix'!E29</f>
        <v>1.8558464711050542E-3</v>
      </c>
      <c r="E28" s="35">
        <f ca="1">'Corr. Matrix'!B$43*'Corr. Matrix'!B63*'Corr. Matrix'!F29</f>
        <v>-9.2828001355906335E-4</v>
      </c>
      <c r="F28" s="35">
        <f ca="1">'Corr. Matrix'!B$44*'Corr. Matrix'!B63*'Corr. Matrix'!G29</f>
        <v>7.5086418720200256E-4</v>
      </c>
      <c r="G28" s="35">
        <f ca="1">'Corr. Matrix'!B$45*'Corr. Matrix'!B63*'Corr. Matrix'!H29</f>
        <v>3.9455221972287043E-4</v>
      </c>
      <c r="H28" s="35">
        <f ca="1">'Corr. Matrix'!B$46*'Corr. Matrix'!B63*'Corr. Matrix'!I29</f>
        <v>1.1138335023365624E-3</v>
      </c>
      <c r="I28" s="35">
        <f ca="1">'Corr. Matrix'!B$47*'Corr. Matrix'!B63*'Corr. Matrix'!J29</f>
        <v>8.55171749150157E-4</v>
      </c>
      <c r="J28" s="35">
        <f ca="1">'Corr. Matrix'!B$48*'Corr. Matrix'!B63*'Corr. Matrix'!K29</f>
        <v>5.83177056984028E-4</v>
      </c>
      <c r="K28" s="35">
        <f ca="1">'Corr. Matrix'!B$49*'Corr. Matrix'!B63*'Corr. Matrix'!L29</f>
        <v>-7.5252229023558843E-5</v>
      </c>
      <c r="L28" s="35">
        <f ca="1">'Corr. Matrix'!B$50*'Corr. Matrix'!B63*'Corr. Matrix'!M29</f>
        <v>1.0494588345603907E-3</v>
      </c>
      <c r="M28" s="35">
        <f ca="1">'Corr. Matrix'!B$51*'Corr. Matrix'!B63*'Corr. Matrix'!N29</f>
        <v>1.1112261418783013E-3</v>
      </c>
      <c r="N28" s="35">
        <f ca="1">'Corr. Matrix'!B$52*'Corr. Matrix'!B63*'Corr. Matrix'!O29</f>
        <v>9.8935035212280851E-4</v>
      </c>
      <c r="O28" s="35">
        <f ca="1">'Corr. Matrix'!B$53*'Corr. Matrix'!B63*'Corr. Matrix'!P29</f>
        <v>1.8047508493062951E-3</v>
      </c>
      <c r="P28" s="35">
        <f ca="1">'Corr. Matrix'!B$54*'Corr. Matrix'!B63*'Corr. Matrix'!Q29</f>
        <v>-4.8068616757820449E-4</v>
      </c>
      <c r="Q28" s="35">
        <f ca="1">'Corr. Matrix'!B$55*'Corr. Matrix'!B63*'Corr. Matrix'!R29</f>
        <v>1.456405016048577E-3</v>
      </c>
      <c r="R28" s="35">
        <f ca="1">'Corr. Matrix'!B$56*'Corr. Matrix'!B63*'Corr. Matrix'!S29</f>
        <v>1.2537757652888457E-3</v>
      </c>
      <c r="S28" s="35">
        <f ca="1">'Corr. Matrix'!B$57*'Corr. Matrix'!B63*'Corr. Matrix'!T29</f>
        <v>1.4612876481159456E-3</v>
      </c>
      <c r="T28" s="35">
        <f ca="1">'Corr. Matrix'!B$58*'Corr. Matrix'!B63*'Corr. Matrix'!U29</f>
        <v>1.8001587928585822E-3</v>
      </c>
      <c r="U28" s="35">
        <f ca="1">'Corr. Matrix'!B$59*'Corr. Matrix'!B63*'Corr. Matrix'!V29</f>
        <v>3.7365800070284324E-4</v>
      </c>
      <c r="V28" s="35">
        <f ca="1">'Corr. Matrix'!B$60*'Corr. Matrix'!B63*'Corr. Matrix'!W29</f>
        <v>6.9601813092156131E-4</v>
      </c>
      <c r="W28" s="35">
        <f ca="1">'Corr. Matrix'!B$61*'Corr. Matrix'!B63*'Corr. Matrix'!X29</f>
        <v>7.956583650649316E-4</v>
      </c>
      <c r="X28" s="35">
        <f ca="1">'Corr. Matrix'!B$62*'Corr. Matrix'!B63*'Corr. Matrix'!Y29</f>
        <v>1.5850408259327805E-3</v>
      </c>
      <c r="Y28" s="35">
        <f ca="1">'Corr. Matrix'!B$63*'Corr. Matrix'!B63*'Corr. Matrix'!Z29</f>
        <v>4.3950917214026879E-3</v>
      </c>
      <c r="Z28" s="35" cm="1">
        <f t="array" aca="1" ref="Z28:AE28" ca="1">TRANSPOSE(Y29:Y34)</f>
        <v>1.9039198384889546E-4</v>
      </c>
      <c r="AA28" s="35">
        <f ca="1"/>
        <v>6.5646032037544263E-4</v>
      </c>
      <c r="AB28" s="35">
        <f ca="1"/>
        <v>1.3407395833579937E-3</v>
      </c>
      <c r="AC28" s="35">
        <f ca="1"/>
        <v>3.6693838640076254E-4</v>
      </c>
      <c r="AD28" s="35">
        <f ca="1"/>
        <v>6.4161337387919353E-4</v>
      </c>
      <c r="AE28" s="35">
        <f ca="1"/>
        <v>7.5453323485224946E-4</v>
      </c>
    </row>
    <row r="29" spans="1:31" x14ac:dyDescent="0.25">
      <c r="A29" s="30" t="str">
        <f>'Corr. Matrix'!B30</f>
        <v>ma</v>
      </c>
      <c r="B29" s="35">
        <f ca="1">'Corr. Matrix'!B64*'Corr. Matrix'!B$40*'Corr. Matrix'!C30</f>
        <v>6.4507200095015175E-4</v>
      </c>
      <c r="C29" s="35">
        <f ca="1">'Corr. Matrix'!B$41*'Corr. Matrix'!B64*'Corr. Matrix'!D30</f>
        <v>5.0557566321075137E-3</v>
      </c>
      <c r="D29" s="35">
        <f ca="1">'Corr. Matrix'!B$42*'Corr. Matrix'!B64*'Corr. Matrix'!E30</f>
        <v>1.9645257513412435E-3</v>
      </c>
      <c r="E29" s="35">
        <f ca="1">'Corr. Matrix'!B$43*'Corr. Matrix'!B64*'Corr. Matrix'!F30</f>
        <v>3.8934904604930633E-3</v>
      </c>
      <c r="F29" s="35">
        <f ca="1">'Corr. Matrix'!B$44*'Corr. Matrix'!B64*'Corr. Matrix'!G30</f>
        <v>1.8741102054676364E-3</v>
      </c>
      <c r="G29" s="35">
        <f ca="1">'Corr. Matrix'!B$45*'Corr. Matrix'!B64*'Corr. Matrix'!H30</f>
        <v>2.598885080589591E-3</v>
      </c>
      <c r="H29" s="35">
        <f ca="1">'Corr. Matrix'!B$46*'Corr. Matrix'!B64*'Corr. Matrix'!I30</f>
        <v>2.1510069436069968E-3</v>
      </c>
      <c r="I29" s="35">
        <f ca="1">'Corr. Matrix'!B$47*'Corr. Matrix'!B64*'Corr. Matrix'!J30</f>
        <v>1.958919279630174E-3</v>
      </c>
      <c r="J29" s="35">
        <f ca="1">'Corr. Matrix'!B$48*'Corr. Matrix'!B64*'Corr. Matrix'!K30</f>
        <v>2.6793949539450895E-3</v>
      </c>
      <c r="K29" s="35">
        <f ca="1">'Corr. Matrix'!B$49*'Corr. Matrix'!B64*'Corr. Matrix'!L30</f>
        <v>1.6815803664792749E-3</v>
      </c>
      <c r="L29" s="35">
        <f ca="1">'Corr. Matrix'!B$50*'Corr. Matrix'!B64*'Corr. Matrix'!M30</f>
        <v>3.0066855670835466E-3</v>
      </c>
      <c r="M29" s="35">
        <f ca="1">'Corr. Matrix'!B$51*'Corr. Matrix'!B64*'Corr. Matrix'!N30</f>
        <v>-4.4288896153003916E-5</v>
      </c>
      <c r="N29" s="35">
        <f ca="1">'Corr. Matrix'!B$52*'Corr. Matrix'!B64*'Corr. Matrix'!O30</f>
        <v>8.5154995084301853E-4</v>
      </c>
      <c r="O29" s="35">
        <f ca="1">'Corr. Matrix'!B$53*'Corr. Matrix'!B64*'Corr. Matrix'!P30</f>
        <v>2.2315420239936287E-3</v>
      </c>
      <c r="P29" s="35">
        <f ca="1">'Corr. Matrix'!B$54*'Corr. Matrix'!B64*'Corr. Matrix'!Q30</f>
        <v>2.0840590883938973E-3</v>
      </c>
      <c r="Q29" s="35">
        <f ca="1">'Corr. Matrix'!B$55*'Corr. Matrix'!B64*'Corr. Matrix'!R30</f>
        <v>2.0813469830277009E-3</v>
      </c>
      <c r="R29" s="35">
        <f ca="1">'Corr. Matrix'!B$56*'Corr. Matrix'!B64*'Corr. Matrix'!S30</f>
        <v>1.692393692104547E-3</v>
      </c>
      <c r="S29" s="35">
        <f ca="1">'Corr. Matrix'!B$57*'Corr. Matrix'!B64*'Corr. Matrix'!T30</f>
        <v>1.5515221448625406E-3</v>
      </c>
      <c r="T29" s="35">
        <f ca="1">'Corr. Matrix'!B$58*'Corr. Matrix'!B64*'Corr. Matrix'!U30</f>
        <v>2.003772408947513E-3</v>
      </c>
      <c r="U29" s="35">
        <f ca="1">'Corr. Matrix'!B$59*'Corr. Matrix'!B64*'Corr. Matrix'!V30</f>
        <v>2.014762325051489E-3</v>
      </c>
      <c r="V29" s="35">
        <f ca="1">'Corr. Matrix'!B$60*'Corr. Matrix'!B64*'Corr. Matrix'!W30</f>
        <v>2.2228210838917493E-3</v>
      </c>
      <c r="W29" s="35">
        <f ca="1">'Corr. Matrix'!B$61*'Corr. Matrix'!B64*'Corr. Matrix'!X30</f>
        <v>1.8935972913084562E-3</v>
      </c>
      <c r="X29" s="35">
        <f ca="1">'Corr. Matrix'!B$62*'Corr. Matrix'!B64*'Corr. Matrix'!Y30</f>
        <v>4.009801344527148E-4</v>
      </c>
      <c r="Y29" s="35">
        <f ca="1">'Corr. Matrix'!B$63*'Corr. Matrix'!B64*'Corr. Matrix'!Z30</f>
        <v>1.9039198384889546E-4</v>
      </c>
      <c r="Z29" s="35">
        <f ca="1">'Corr. Matrix'!B$64*'Corr. Matrix'!B64*'Corr. Matrix'!AA30</f>
        <v>3.9812202886858189E-3</v>
      </c>
      <c r="AA29" s="35" cm="1">
        <f t="array" aca="1" ref="AA29:AE29" ca="1">TRANSPOSE(Z30:Z34)</f>
        <v>1.0307407918821927E-3</v>
      </c>
      <c r="AB29" s="35">
        <f ca="1"/>
        <v>1.9840026957709009E-3</v>
      </c>
      <c r="AC29" s="35">
        <f ca="1"/>
        <v>1.0897216548189103E-3</v>
      </c>
      <c r="AD29" s="35">
        <f ca="1"/>
        <v>1.6278375488137631E-3</v>
      </c>
      <c r="AE29" s="35">
        <f ca="1"/>
        <v>1.8373501036108915E-3</v>
      </c>
    </row>
    <row r="30" spans="1:31" x14ac:dyDescent="0.25">
      <c r="A30" s="30" t="str">
        <f>'Corr. Matrix'!B31</f>
        <v>msft</v>
      </c>
      <c r="B30" s="35">
        <f ca="1">'Corr. Matrix'!B65*'Corr. Matrix'!B$40*'Corr. Matrix'!C31</f>
        <v>4.2825501581627663E-3</v>
      </c>
      <c r="C30" s="35">
        <f ca="1">'Corr. Matrix'!B$41*'Corr. Matrix'!B65*'Corr. Matrix'!D31</f>
        <v>2.3895420314375242E-3</v>
      </c>
      <c r="D30" s="35">
        <f ca="1">'Corr. Matrix'!B$42*'Corr. Matrix'!B65*'Corr. Matrix'!E31</f>
        <v>6.489017141907384E-3</v>
      </c>
      <c r="E30" s="35">
        <f ca="1">'Corr. Matrix'!B$43*'Corr. Matrix'!B65*'Corr. Matrix'!F31</f>
        <v>6.014106930538627E-4</v>
      </c>
      <c r="F30" s="35">
        <f ca="1">'Corr. Matrix'!B$44*'Corr. Matrix'!B65*'Corr. Matrix'!G31</f>
        <v>4.0553239546972071E-3</v>
      </c>
      <c r="G30" s="35">
        <f ca="1">'Corr. Matrix'!B$45*'Corr. Matrix'!B65*'Corr. Matrix'!H31</f>
        <v>2.7313934545450864E-3</v>
      </c>
      <c r="H30" s="35">
        <f ca="1">'Corr. Matrix'!B$46*'Corr. Matrix'!B65*'Corr. Matrix'!I31</f>
        <v>1.0200514507830276E-3</v>
      </c>
      <c r="I30" s="35">
        <f ca="1">'Corr. Matrix'!B$47*'Corr. Matrix'!B65*'Corr. Matrix'!J31</f>
        <v>2.2740726788072199E-3</v>
      </c>
      <c r="J30" s="35">
        <f ca="1">'Corr. Matrix'!B$48*'Corr. Matrix'!B65*'Corr. Matrix'!K31</f>
        <v>2.1539420922341134E-3</v>
      </c>
      <c r="K30" s="35">
        <f ca="1">'Corr. Matrix'!B$49*'Corr. Matrix'!B65*'Corr. Matrix'!L31</f>
        <v>2.743928022282563E-3</v>
      </c>
      <c r="L30" s="35">
        <f ca="1">'Corr. Matrix'!B$50*'Corr. Matrix'!B65*'Corr. Matrix'!M31</f>
        <v>1.7983747072433691E-3</v>
      </c>
      <c r="M30" s="35">
        <f ca="1">'Corr. Matrix'!B$51*'Corr. Matrix'!B65*'Corr. Matrix'!N31</f>
        <v>1.1129112921084467E-3</v>
      </c>
      <c r="N30" s="35">
        <f ca="1">'Corr. Matrix'!B$52*'Corr. Matrix'!B65*'Corr. Matrix'!O31</f>
        <v>2.7638219097929242E-3</v>
      </c>
      <c r="O30" s="35">
        <f ca="1">'Corr. Matrix'!B$53*'Corr. Matrix'!B65*'Corr. Matrix'!P31</f>
        <v>8.6157220674233669E-4</v>
      </c>
      <c r="P30" s="35">
        <f ca="1">'Corr. Matrix'!B$54*'Corr. Matrix'!B65*'Corr. Matrix'!Q31</f>
        <v>-3.205175674487555E-4</v>
      </c>
      <c r="Q30" s="35">
        <f ca="1">'Corr. Matrix'!B$55*'Corr. Matrix'!B65*'Corr. Matrix'!R31</f>
        <v>1.575245354611004E-3</v>
      </c>
      <c r="R30" s="35">
        <f ca="1">'Corr. Matrix'!B$56*'Corr. Matrix'!B65*'Corr. Matrix'!S31</f>
        <v>7.1489796993014438E-4</v>
      </c>
      <c r="S30" s="35">
        <f ca="1">'Corr. Matrix'!B$57*'Corr. Matrix'!B65*'Corr. Matrix'!T31</f>
        <v>2.2230549527225496E-3</v>
      </c>
      <c r="T30" s="35">
        <f ca="1">'Corr. Matrix'!B$58*'Corr. Matrix'!B65*'Corr. Matrix'!U31</f>
        <v>1.7617003704764808E-3</v>
      </c>
      <c r="U30" s="35">
        <f ca="1">'Corr. Matrix'!B$59*'Corr. Matrix'!B65*'Corr. Matrix'!V31</f>
        <v>1.3118577366641735E-3</v>
      </c>
      <c r="V30" s="35">
        <f ca="1">'Corr. Matrix'!B$60*'Corr. Matrix'!B65*'Corr. Matrix'!W31</f>
        <v>5.8776585906608267E-4</v>
      </c>
      <c r="W30" s="35">
        <f ca="1">'Corr. Matrix'!B$61*'Corr. Matrix'!B65*'Corr. Matrix'!X31</f>
        <v>2.8311136349175125E-5</v>
      </c>
      <c r="X30" s="35">
        <f ca="1">'Corr. Matrix'!B$62*'Corr. Matrix'!B65*'Corr. Matrix'!Y31</f>
        <v>1.0320466240089842E-3</v>
      </c>
      <c r="Y30" s="35">
        <f ca="1">'Corr. Matrix'!B$63*'Corr. Matrix'!B65*'Corr. Matrix'!Z31</f>
        <v>6.5646032037544263E-4</v>
      </c>
      <c r="Z30" s="35">
        <f ca="1">'Corr. Matrix'!B$64*'Corr. Matrix'!B65*'Corr. Matrix'!AA31</f>
        <v>1.0307407918821927E-3</v>
      </c>
      <c r="AA30" s="35">
        <f ca="1">'Corr. Matrix'!B$65*'Corr. Matrix'!B65*'Corr. Matrix'!AB31</f>
        <v>3.9595936712828704E-3</v>
      </c>
      <c r="AB30" s="35" cm="1">
        <f t="array" aca="1" ref="AB30:AE30" ca="1">TRANSPOSE(AA31:AA34)</f>
        <v>7.698226741024288E-4</v>
      </c>
      <c r="AC30" s="35">
        <f ca="1"/>
        <v>1.1969714419556587E-3</v>
      </c>
      <c r="AD30" s="35">
        <f ca="1"/>
        <v>4.4265645611428939E-4</v>
      </c>
      <c r="AE30" s="35">
        <f ca="1"/>
        <v>5.9003876344670525E-4</v>
      </c>
    </row>
    <row r="31" spans="1:31" x14ac:dyDescent="0.25">
      <c r="A31" s="30" t="str">
        <f>'Corr. Matrix'!B32</f>
        <v>yum</v>
      </c>
      <c r="B31" s="35">
        <f ca="1">'Corr. Matrix'!B66*'Corr. Matrix'!B$40*'Corr. Matrix'!C32</f>
        <v>-6.2172665365618556E-4</v>
      </c>
      <c r="C31" s="35">
        <f ca="1">'Corr. Matrix'!B$41*'Corr. Matrix'!B66*'Corr. Matrix'!D32</f>
        <v>1.413503925118999E-3</v>
      </c>
      <c r="D31" s="35">
        <f ca="1">'Corr. Matrix'!B$42*'Corr. Matrix'!B66*'Corr. Matrix'!E32</f>
        <v>1.0948196326124892E-3</v>
      </c>
      <c r="E31" s="35">
        <f ca="1">'Corr. Matrix'!B$43*'Corr. Matrix'!B66*'Corr. Matrix'!F32</f>
        <v>1.1444074410247248E-3</v>
      </c>
      <c r="F31" s="35">
        <f ca="1">'Corr. Matrix'!B$44*'Corr. Matrix'!B66*'Corr. Matrix'!G32</f>
        <v>1.1522359093368221E-3</v>
      </c>
      <c r="G31" s="35">
        <f ca="1">'Corr. Matrix'!B$45*'Corr. Matrix'!B66*'Corr. Matrix'!H32</f>
        <v>1.6060962278265918E-3</v>
      </c>
      <c r="H31" s="35">
        <f ca="1">'Corr. Matrix'!B$46*'Corr. Matrix'!B66*'Corr. Matrix'!I32</f>
        <v>2.1539622299851014E-3</v>
      </c>
      <c r="I31" s="35">
        <f ca="1">'Corr. Matrix'!B$47*'Corr. Matrix'!B66*'Corr. Matrix'!J32</f>
        <v>2.1448335128346854E-3</v>
      </c>
      <c r="J31" s="35">
        <f ca="1">'Corr. Matrix'!B$48*'Corr. Matrix'!B66*'Corr. Matrix'!K32</f>
        <v>1.1125179990975904E-3</v>
      </c>
      <c r="K31" s="35">
        <f ca="1">'Corr. Matrix'!B$49*'Corr. Matrix'!B66*'Corr. Matrix'!L32</f>
        <v>2.4665809872897108E-3</v>
      </c>
      <c r="L31" s="35">
        <f ca="1">'Corr. Matrix'!B$50*'Corr. Matrix'!B66*'Corr. Matrix'!M32</f>
        <v>1.7085989305927363E-3</v>
      </c>
      <c r="M31" s="35">
        <f ca="1">'Corr. Matrix'!B$51*'Corr. Matrix'!B66*'Corr. Matrix'!N32</f>
        <v>1.2884014596139665E-3</v>
      </c>
      <c r="N31" s="35">
        <f ca="1">'Corr. Matrix'!B$52*'Corr. Matrix'!B66*'Corr. Matrix'!O32</f>
        <v>3.3232619982109812E-4</v>
      </c>
      <c r="O31" s="35">
        <f ca="1">'Corr. Matrix'!B$53*'Corr. Matrix'!B66*'Corr. Matrix'!P32</f>
        <v>2.0210570402941679E-3</v>
      </c>
      <c r="P31" s="35">
        <f ca="1">'Corr. Matrix'!B$54*'Corr. Matrix'!B66*'Corr. Matrix'!Q32</f>
        <v>8.8498716562001559E-4</v>
      </c>
      <c r="Q31" s="35">
        <f ca="1">'Corr. Matrix'!B$55*'Corr. Matrix'!B66*'Corr. Matrix'!R32</f>
        <v>1.6768302165523488E-3</v>
      </c>
      <c r="R31" s="35">
        <f ca="1">'Corr. Matrix'!B$56*'Corr. Matrix'!B66*'Corr. Matrix'!S32</f>
        <v>8.8516897480111036E-4</v>
      </c>
      <c r="S31" s="35">
        <f ca="1">'Corr. Matrix'!B$57*'Corr. Matrix'!B66*'Corr. Matrix'!T32</f>
        <v>1.4937846932345509E-3</v>
      </c>
      <c r="T31" s="35">
        <f ca="1">'Corr. Matrix'!B$58*'Corr. Matrix'!B66*'Corr. Matrix'!U32</f>
        <v>1.8019475580125629E-3</v>
      </c>
      <c r="U31" s="35">
        <f ca="1">'Corr. Matrix'!B$59*'Corr. Matrix'!B66*'Corr. Matrix'!V32</f>
        <v>1.4132568416969358E-3</v>
      </c>
      <c r="V31" s="35">
        <f ca="1">'Corr. Matrix'!B$60*'Corr. Matrix'!B66*'Corr. Matrix'!W32</f>
        <v>1.4652066135218435E-3</v>
      </c>
      <c r="W31" s="35">
        <f ca="1">'Corr. Matrix'!B$61*'Corr. Matrix'!B66*'Corr. Matrix'!X32</f>
        <v>1.677087498275001E-3</v>
      </c>
      <c r="X31" s="35">
        <f ca="1">'Corr. Matrix'!B$62*'Corr. Matrix'!B66*'Corr. Matrix'!Y32</f>
        <v>1.5254144858445832E-3</v>
      </c>
      <c r="Y31" s="35">
        <f ca="1">'Corr. Matrix'!B$63*'Corr. Matrix'!B66*'Corr. Matrix'!Z32</f>
        <v>1.3407395833579937E-3</v>
      </c>
      <c r="Z31" s="35">
        <f ca="1">'Corr. Matrix'!B$64*'Corr. Matrix'!B66*'Corr. Matrix'!AA32</f>
        <v>1.9840026957709009E-3</v>
      </c>
      <c r="AA31" s="35">
        <f ca="1">'Corr. Matrix'!B$65*'Corr. Matrix'!B66*'Corr. Matrix'!AB32</f>
        <v>7.698226741024288E-4</v>
      </c>
      <c r="AB31" s="35">
        <f ca="1">'Corr. Matrix'!B$66*'Corr. Matrix'!B66*'Corr. Matrix'!AC32</f>
        <v>3.6515478651779464E-3</v>
      </c>
      <c r="AC31" s="35" cm="1">
        <f t="array" aca="1" ref="AC31:AE31" ca="1">TRANSPOSE(AB32:AB34)</f>
        <v>9.2587610521121177E-4</v>
      </c>
      <c r="AD31" s="35">
        <f ca="1"/>
        <v>1.8246903663502779E-3</v>
      </c>
      <c r="AE31" s="35">
        <f ca="1"/>
        <v>1.8628779750245576E-3</v>
      </c>
    </row>
    <row r="32" spans="1:31" x14ac:dyDescent="0.25">
      <c r="A32" s="30" t="str">
        <f>'Corr. Matrix'!B33</f>
        <v>wmt</v>
      </c>
      <c r="B32" s="35">
        <f ca="1">'Corr. Matrix'!B67*'Corr. Matrix'!B$40*'Corr. Matrix'!C33</f>
        <v>2.475162033421486E-3</v>
      </c>
      <c r="C32" s="35">
        <f ca="1">'Corr. Matrix'!B$41*'Corr. Matrix'!B67*'Corr. Matrix'!D33</f>
        <v>3.0348283301952178E-3</v>
      </c>
      <c r="D32" s="35">
        <f ca="1">'Corr. Matrix'!B$42*'Corr. Matrix'!B67*'Corr. Matrix'!E33</f>
        <v>2.0020638955493318E-3</v>
      </c>
      <c r="E32" s="35">
        <f ca="1">'Corr. Matrix'!B$43*'Corr. Matrix'!B67*'Corr. Matrix'!F33</f>
        <v>2.3727236351430061E-3</v>
      </c>
      <c r="F32" s="35">
        <f ca="1">'Corr. Matrix'!B$44*'Corr. Matrix'!B67*'Corr. Matrix'!G33</f>
        <v>1.8812041039783381E-3</v>
      </c>
      <c r="G32" s="35">
        <f ca="1">'Corr. Matrix'!B$45*'Corr. Matrix'!B67*'Corr. Matrix'!H33</f>
        <v>1.4501649002247677E-3</v>
      </c>
      <c r="H32" s="35">
        <f ca="1">'Corr. Matrix'!B$46*'Corr. Matrix'!B67*'Corr. Matrix'!I33</f>
        <v>1.2791102544664743E-3</v>
      </c>
      <c r="I32" s="35">
        <f ca="1">'Corr. Matrix'!B$47*'Corr. Matrix'!B67*'Corr. Matrix'!J33</f>
        <v>2.6589496363362225E-4</v>
      </c>
      <c r="J32" s="35">
        <f ca="1">'Corr. Matrix'!B$48*'Corr. Matrix'!B67*'Corr. Matrix'!K33</f>
        <v>5.3733448647028841E-4</v>
      </c>
      <c r="K32" s="35">
        <f ca="1">'Corr. Matrix'!B$49*'Corr. Matrix'!B67*'Corr. Matrix'!L33</f>
        <v>1.638243062904964E-3</v>
      </c>
      <c r="L32" s="35">
        <f ca="1">'Corr. Matrix'!B$50*'Corr. Matrix'!B67*'Corr. Matrix'!M33</f>
        <v>1.6861623913197927E-3</v>
      </c>
      <c r="M32" s="35">
        <f ca="1">'Corr. Matrix'!B$51*'Corr. Matrix'!B67*'Corr. Matrix'!N33</f>
        <v>1.3750573903186655E-3</v>
      </c>
      <c r="N32" s="35">
        <f ca="1">'Corr. Matrix'!B$52*'Corr. Matrix'!B67*'Corr. Matrix'!O33</f>
        <v>9.9647165450393919E-4</v>
      </c>
      <c r="O32" s="35">
        <f ca="1">'Corr. Matrix'!B$53*'Corr. Matrix'!B67*'Corr. Matrix'!P33</f>
        <v>1.4297452096877499E-3</v>
      </c>
      <c r="P32" s="35">
        <f ca="1">'Corr. Matrix'!B$54*'Corr. Matrix'!B67*'Corr. Matrix'!Q33</f>
        <v>-3.0639957154776366E-4</v>
      </c>
      <c r="Q32" s="35">
        <f ca="1">'Corr. Matrix'!B$55*'Corr. Matrix'!B67*'Corr. Matrix'!R33</f>
        <v>1.0323009511089228E-3</v>
      </c>
      <c r="R32" s="35">
        <f ca="1">'Corr. Matrix'!B$56*'Corr. Matrix'!B67*'Corr. Matrix'!S33</f>
        <v>1.1321165499304016E-3</v>
      </c>
      <c r="S32" s="35">
        <f ca="1">'Corr. Matrix'!B$57*'Corr. Matrix'!B67*'Corr. Matrix'!T33</f>
        <v>1.4057251116443346E-3</v>
      </c>
      <c r="T32" s="35">
        <f ca="1">'Corr. Matrix'!B$58*'Corr. Matrix'!B67*'Corr. Matrix'!U33</f>
        <v>1.4941559113542705E-3</v>
      </c>
      <c r="U32" s="35">
        <f ca="1">'Corr. Matrix'!B$59*'Corr. Matrix'!B67*'Corr. Matrix'!V33</f>
        <v>8.9321031857099572E-4</v>
      </c>
      <c r="V32" s="35">
        <f ca="1">'Corr. Matrix'!B$60*'Corr. Matrix'!B67*'Corr. Matrix'!W33</f>
        <v>1.1274969981114283E-3</v>
      </c>
      <c r="W32" s="35">
        <f ca="1">'Corr. Matrix'!B$61*'Corr. Matrix'!B67*'Corr. Matrix'!X33</f>
        <v>5.4074327360424061E-4</v>
      </c>
      <c r="X32" s="35">
        <f ca="1">'Corr. Matrix'!B$62*'Corr. Matrix'!B67*'Corr. Matrix'!Y33</f>
        <v>1.5480335054356875E-3</v>
      </c>
      <c r="Y32" s="35">
        <f ca="1">'Corr. Matrix'!B$63*'Corr. Matrix'!B67*'Corr. Matrix'!Z33</f>
        <v>3.6693838640076254E-4</v>
      </c>
      <c r="Z32" s="35">
        <f ca="1">'Corr. Matrix'!B$64*'Corr. Matrix'!B67*'Corr. Matrix'!AA33</f>
        <v>1.0897216548189103E-3</v>
      </c>
      <c r="AA32" s="35">
        <f ca="1">'Corr. Matrix'!B$65*'Corr. Matrix'!B67*'Corr. Matrix'!AB33</f>
        <v>1.1969714419556587E-3</v>
      </c>
      <c r="AB32" s="35">
        <f ca="1">'Corr. Matrix'!B$66*'Corr. Matrix'!B67*'Corr. Matrix'!AC33</f>
        <v>9.2587610521121177E-4</v>
      </c>
      <c r="AC32" s="35">
        <f ca="1">'Corr. Matrix'!B$67*'Corr. Matrix'!B67*'Corr. Matrix'!AD33</f>
        <v>3.2854281537316515E-3</v>
      </c>
      <c r="AD32" s="35" cm="1">
        <f t="array" aca="1" ref="AD32:AE32" ca="1">TRANSPOSE(AC33:AC34)</f>
        <v>8.8213273678079045E-4</v>
      </c>
      <c r="AE32" s="35">
        <f ca="1"/>
        <v>8.3997070952694305E-4</v>
      </c>
    </row>
    <row r="33" spans="1:31" x14ac:dyDescent="0.25">
      <c r="A33" s="30" t="str">
        <f>'Corr. Matrix'!B34</f>
        <v>ko</v>
      </c>
      <c r="B33" s="35">
        <f ca="1">'Corr. Matrix'!B68*'Corr. Matrix'!B$40*'Corr. Matrix'!C34</f>
        <v>-1.8739555931982382E-3</v>
      </c>
      <c r="C33" s="35">
        <f ca="1">'Corr. Matrix'!B$41*'Corr. Matrix'!B68*'Corr. Matrix'!D34</f>
        <v>5.2969017394724125E-4</v>
      </c>
      <c r="D33" s="35">
        <f ca="1">'Corr. Matrix'!B$42*'Corr. Matrix'!B68*'Corr. Matrix'!E34</f>
        <v>-4.4773946628462772E-4</v>
      </c>
      <c r="E33" s="35">
        <f ca="1">'Corr. Matrix'!B$43*'Corr. Matrix'!B68*'Corr. Matrix'!F34</f>
        <v>-2.7126946117847875E-5</v>
      </c>
      <c r="F33" s="35">
        <f ca="1">'Corr. Matrix'!B$44*'Corr. Matrix'!B68*'Corr. Matrix'!G34</f>
        <v>2.0579938866966739E-4</v>
      </c>
      <c r="G33" s="35">
        <f ca="1">'Corr. Matrix'!B$45*'Corr. Matrix'!B68*'Corr. Matrix'!H34</f>
        <v>4.2120585312594545E-4</v>
      </c>
      <c r="H33" s="35">
        <f ca="1">'Corr. Matrix'!B$46*'Corr. Matrix'!B68*'Corr. Matrix'!I34</f>
        <v>9.2126223009079717E-4</v>
      </c>
      <c r="I33" s="35">
        <f ca="1">'Corr. Matrix'!B$47*'Corr. Matrix'!B68*'Corr. Matrix'!J34</f>
        <v>6.9911580819636871E-4</v>
      </c>
      <c r="J33" s="35">
        <f ca="1">'Corr. Matrix'!B$48*'Corr. Matrix'!B68*'Corr. Matrix'!K34</f>
        <v>1.3807928981866919E-3</v>
      </c>
      <c r="K33" s="35">
        <f ca="1">'Corr. Matrix'!B$49*'Corr. Matrix'!B68*'Corr. Matrix'!L34</f>
        <v>6.0022286654751004E-4</v>
      </c>
      <c r="L33" s="35">
        <f ca="1">'Corr. Matrix'!B$50*'Corr. Matrix'!B68*'Corr. Matrix'!M34</f>
        <v>1.0992592131754035E-3</v>
      </c>
      <c r="M33" s="35">
        <f ca="1">'Corr. Matrix'!B$51*'Corr. Matrix'!B68*'Corr. Matrix'!N34</f>
        <v>9.8717001244930341E-4</v>
      </c>
      <c r="N33" s="35">
        <f ca="1">'Corr. Matrix'!B$52*'Corr. Matrix'!B68*'Corr. Matrix'!O34</f>
        <v>6.4342625845720424E-5</v>
      </c>
      <c r="O33" s="35">
        <f ca="1">'Corr. Matrix'!B$53*'Corr. Matrix'!B68*'Corr. Matrix'!P34</f>
        <v>1.8797841496946438E-3</v>
      </c>
      <c r="P33" s="35">
        <f ca="1">'Corr. Matrix'!B$54*'Corr. Matrix'!B68*'Corr. Matrix'!Q34</f>
        <v>8.0527197982758656E-4</v>
      </c>
      <c r="Q33" s="35">
        <f ca="1">'Corr. Matrix'!B$55*'Corr. Matrix'!B68*'Corr. Matrix'!R34</f>
        <v>5.7573418166351794E-4</v>
      </c>
      <c r="R33" s="35">
        <f ca="1">'Corr. Matrix'!B$56*'Corr. Matrix'!B68*'Corr. Matrix'!S34</f>
        <v>1.1779514829822991E-3</v>
      </c>
      <c r="S33" s="35">
        <f ca="1">'Corr. Matrix'!B$57*'Corr. Matrix'!B68*'Corr. Matrix'!T34</f>
        <v>8.6195508430027289E-4</v>
      </c>
      <c r="T33" s="35">
        <f ca="1">'Corr. Matrix'!B$58*'Corr. Matrix'!B68*'Corr. Matrix'!U34</f>
        <v>7.4620568007550177E-4</v>
      </c>
      <c r="U33" s="35">
        <f ca="1">'Corr. Matrix'!B$59*'Corr. Matrix'!B68*'Corr. Matrix'!V34</f>
        <v>5.8406395761508034E-4</v>
      </c>
      <c r="V33" s="35">
        <f ca="1">'Corr. Matrix'!B$60*'Corr. Matrix'!B68*'Corr. Matrix'!W34</f>
        <v>1.0312107758525203E-3</v>
      </c>
      <c r="W33" s="35">
        <f ca="1">'Corr. Matrix'!B$61*'Corr. Matrix'!B68*'Corr. Matrix'!X34</f>
        <v>1.1757492535132152E-3</v>
      </c>
      <c r="X33" s="35">
        <f ca="1">'Corr. Matrix'!B$62*'Corr. Matrix'!B68*'Corr. Matrix'!Y34</f>
        <v>8.2242888136558885E-4</v>
      </c>
      <c r="Y33" s="35">
        <f ca="1">'Corr. Matrix'!B$63*'Corr. Matrix'!B68*'Corr. Matrix'!Z34</f>
        <v>6.4161337387919353E-4</v>
      </c>
      <c r="Z33" s="35">
        <f ca="1">'Corr. Matrix'!B$64*'Corr. Matrix'!B68*'Corr. Matrix'!AA34</f>
        <v>1.6278375488137631E-3</v>
      </c>
      <c r="AA33" s="35">
        <f ca="1">'Corr. Matrix'!B$65*'Corr. Matrix'!B68*'Corr. Matrix'!AB34</f>
        <v>4.4265645611428939E-4</v>
      </c>
      <c r="AB33" s="35">
        <f ca="1">'Corr. Matrix'!B$66*'Corr. Matrix'!B68*'Corr. Matrix'!AC34</f>
        <v>1.8246903663502779E-3</v>
      </c>
      <c r="AC33" s="35">
        <f ca="1">'Corr. Matrix'!B$67*'Corr. Matrix'!B68*'Corr. Matrix'!AD34</f>
        <v>8.8213273678079045E-4</v>
      </c>
      <c r="AD33" s="35">
        <f ca="1">'Corr. Matrix'!B$68*'Corr. Matrix'!B68*'Corr. Matrix'!AE34</f>
        <v>2.423385687653884E-3</v>
      </c>
      <c r="AE33" s="35">
        <f ca="1">AD34</f>
        <v>1.3825308437326934E-3</v>
      </c>
    </row>
    <row r="34" spans="1:31" x14ac:dyDescent="0.25">
      <c r="A34" s="30" t="str">
        <f>'Corr. Matrix'!B35</f>
        <v>mcd</v>
      </c>
      <c r="B34" s="35">
        <f ca="1">'Corr. Matrix'!B69*'Corr. Matrix'!B$40*'Corr. Matrix'!C35</f>
        <v>3.5086096185346952E-4</v>
      </c>
      <c r="C34" s="35">
        <f ca="1">'Corr. Matrix'!B$41*'Corr. Matrix'!B69*'Corr. Matrix'!D35</f>
        <v>1.5030901093085022E-3</v>
      </c>
      <c r="D34" s="35">
        <f ca="1">'Corr. Matrix'!B$42*'Corr. Matrix'!B69*'Corr. Matrix'!E35</f>
        <v>3.8546388387053097E-4</v>
      </c>
      <c r="E34" s="35">
        <f ca="1">'Corr. Matrix'!B$43*'Corr. Matrix'!B69*'Corr. Matrix'!F35</f>
        <v>1.4607382229323241E-3</v>
      </c>
      <c r="F34" s="35">
        <f ca="1">'Corr. Matrix'!B$44*'Corr. Matrix'!B69*'Corr. Matrix'!G35</f>
        <v>2.2529779490258043E-4</v>
      </c>
      <c r="G34" s="35">
        <f ca="1">'Corr. Matrix'!B$45*'Corr. Matrix'!B69*'Corr. Matrix'!H35</f>
        <v>1.9697699227966001E-3</v>
      </c>
      <c r="H34" s="35">
        <f ca="1">'Corr. Matrix'!B$46*'Corr. Matrix'!B69*'Corr. Matrix'!I35</f>
        <v>1.8903512856602749E-3</v>
      </c>
      <c r="I34" s="35">
        <f ca="1">'Corr. Matrix'!B$47*'Corr. Matrix'!B69*'Corr. Matrix'!J35</f>
        <v>1.6142966820489558E-3</v>
      </c>
      <c r="J34" s="35">
        <f ca="1">'Corr. Matrix'!B$48*'Corr. Matrix'!B69*'Corr. Matrix'!K35</f>
        <v>1.6547249050767358E-3</v>
      </c>
      <c r="K34" s="35">
        <f ca="1">'Corr. Matrix'!B$49*'Corr. Matrix'!B69*'Corr. Matrix'!L35</f>
        <v>9.9793794945247016E-4</v>
      </c>
      <c r="L34" s="35">
        <f ca="1">'Corr. Matrix'!B$50*'Corr. Matrix'!B69*'Corr. Matrix'!M35</f>
        <v>1.479435401972752E-3</v>
      </c>
      <c r="M34" s="35">
        <f ca="1">'Corr. Matrix'!B$51*'Corr. Matrix'!B69*'Corr. Matrix'!N35</f>
        <v>5.039971298002328E-4</v>
      </c>
      <c r="N34" s="35">
        <f ca="1">'Corr. Matrix'!B$52*'Corr. Matrix'!B69*'Corr. Matrix'!O35</f>
        <v>2.0304084084959937E-4</v>
      </c>
      <c r="O34" s="35">
        <f ca="1">'Corr. Matrix'!B$53*'Corr. Matrix'!B69*'Corr. Matrix'!P35</f>
        <v>1.7562381334233976E-3</v>
      </c>
      <c r="P34" s="35">
        <f ca="1">'Corr. Matrix'!B$54*'Corr. Matrix'!B69*'Corr. Matrix'!Q35</f>
        <v>8.2696888358461831E-4</v>
      </c>
      <c r="Q34" s="35">
        <f ca="1">'Corr. Matrix'!B$55*'Corr. Matrix'!B69*'Corr. Matrix'!R35</f>
        <v>9.0329369435181162E-4</v>
      </c>
      <c r="R34" s="35">
        <f ca="1">'Corr. Matrix'!B$56*'Corr. Matrix'!B69*'Corr. Matrix'!S35</f>
        <v>9.5510459834881821E-4</v>
      </c>
      <c r="S34" s="35">
        <f ca="1">'Corr. Matrix'!B$57*'Corr. Matrix'!B69*'Corr. Matrix'!T35</f>
        <v>1.4946357644781048E-3</v>
      </c>
      <c r="T34" s="35">
        <f ca="1">'Corr. Matrix'!B$58*'Corr. Matrix'!B69*'Corr. Matrix'!U35</f>
        <v>1.7311416631385032E-3</v>
      </c>
      <c r="U34" s="35">
        <f ca="1">'Corr. Matrix'!B$59*'Corr. Matrix'!B69*'Corr. Matrix'!V35</f>
        <v>8.4813445008796848E-4</v>
      </c>
      <c r="V34" s="35">
        <f ca="1">'Corr. Matrix'!B$60*'Corr. Matrix'!B69*'Corr. Matrix'!W35</f>
        <v>1.0986826991062385E-3</v>
      </c>
      <c r="W34" s="35">
        <f ca="1">'Corr. Matrix'!B$61*'Corr. Matrix'!B69*'Corr. Matrix'!X35</f>
        <v>1.4054445271061058E-3</v>
      </c>
      <c r="X34" s="35">
        <f ca="1">'Corr. Matrix'!B$62*'Corr. Matrix'!B69*'Corr. Matrix'!Y35</f>
        <v>1.0034353769666107E-3</v>
      </c>
      <c r="Y34" s="35">
        <f ca="1">'Corr. Matrix'!B$63*'Corr. Matrix'!B69*'Corr. Matrix'!Z35</f>
        <v>7.5453323485224946E-4</v>
      </c>
      <c r="Z34" s="35">
        <f ca="1">'Corr. Matrix'!B$64*'Corr. Matrix'!B69*'Corr. Matrix'!AA35</f>
        <v>1.8373501036108915E-3</v>
      </c>
      <c r="AA34" s="35">
        <f ca="1">'Corr. Matrix'!B$65*'Corr. Matrix'!B69*'Corr. Matrix'!AB35</f>
        <v>5.9003876344670525E-4</v>
      </c>
      <c r="AB34" s="35">
        <f ca="1">'Corr. Matrix'!B$66*'Corr. Matrix'!B69*'Corr. Matrix'!AC35</f>
        <v>1.8628779750245576E-3</v>
      </c>
      <c r="AC34" s="35">
        <f ca="1">'Corr. Matrix'!B$67*'Corr. Matrix'!B69*'Corr. Matrix'!AD35</f>
        <v>8.3997070952694305E-4</v>
      </c>
      <c r="AD34" s="35">
        <f ca="1">'Corr. Matrix'!B$68*'Corr. Matrix'!B69*'Corr. Matrix'!AE35</f>
        <v>1.3825308437326934E-3</v>
      </c>
      <c r="AE34" s="35">
        <f ca="1">'Corr. Matrix'!B69*'Corr. Matrix'!B69*'Corr. Matrix'!AF35</f>
        <v>2.195117865274637E-3</v>
      </c>
    </row>
    <row r="35" spans="1:31" x14ac:dyDescent="0.25">
      <c r="A35" s="1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x14ac:dyDescent="0.25">
      <c r="A36" s="44" t="s">
        <v>49</v>
      </c>
      <c r="B36" s="44"/>
      <c r="C36" s="44"/>
      <c r="D36" s="44"/>
      <c r="E36" s="44"/>
      <c r="F36" s="44"/>
      <c r="G36" s="35"/>
      <c r="H36" s="33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x14ac:dyDescent="0.25">
      <c r="A37" s="36" t="s">
        <v>50</v>
      </c>
      <c r="B37" s="36" t="s">
        <v>51</v>
      </c>
      <c r="C37" s="36" t="s">
        <v>52</v>
      </c>
      <c r="D37" s="36" t="s">
        <v>53</v>
      </c>
      <c r="E37" s="36" t="s">
        <v>54</v>
      </c>
      <c r="F37" s="36" t="s">
        <v>45</v>
      </c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</row>
    <row r="38" spans="1:31" x14ac:dyDescent="0.25">
      <c r="A38" s="22">
        <v>1</v>
      </c>
      <c r="B38" s="15">
        <f t="shared" ref="B38:B67" si="0">1/A38</f>
        <v>1</v>
      </c>
      <c r="C38" s="15">
        <f t="shared" ref="C38:C67" si="1">B38^2</f>
        <v>1</v>
      </c>
      <c r="D38" s="35">
        <f ca="1">SUM(B5)</f>
        <v>2.9162531424777868E-2</v>
      </c>
      <c r="E38" s="37">
        <f t="shared" ref="E38:E67" ca="1" si="2">C38*D38</f>
        <v>2.9162531424777868E-2</v>
      </c>
      <c r="F38" s="38">
        <f ca="1">SQRT(E38)</f>
        <v>0.17077040558825721</v>
      </c>
      <c r="G38" s="15"/>
      <c r="H38" s="32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</row>
    <row r="39" spans="1:31" x14ac:dyDescent="0.25">
      <c r="A39" s="22">
        <v>2</v>
      </c>
      <c r="B39" s="15">
        <f t="shared" si="0"/>
        <v>0.5</v>
      </c>
      <c r="C39" s="15">
        <f t="shared" si="1"/>
        <v>0.25</v>
      </c>
      <c r="D39" s="35">
        <f ca="1">SUM(B5:C6)</f>
        <v>6.5469376670678509E-2</v>
      </c>
      <c r="E39" s="37">
        <f t="shared" ca="1" si="2"/>
        <v>1.6367344167669627E-2</v>
      </c>
      <c r="F39" s="38">
        <f t="shared" ref="F39:F67" ca="1" si="3">SQRT(E39)</f>
        <v>0.12793492161122241</v>
      </c>
      <c r="G39" s="15"/>
      <c r="H39" s="32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</row>
    <row r="40" spans="1:31" x14ac:dyDescent="0.25">
      <c r="A40" s="22">
        <v>3</v>
      </c>
      <c r="B40" s="15">
        <f t="shared" si="0"/>
        <v>0.33333333333333331</v>
      </c>
      <c r="C40" s="15">
        <f t="shared" si="1"/>
        <v>0.1111111111111111</v>
      </c>
      <c r="D40" s="35">
        <f ca="1">SUM(B5:D7)</f>
        <v>0.12232270055978971</v>
      </c>
      <c r="E40" s="37">
        <f t="shared" ca="1" si="2"/>
        <v>1.3591411173309966E-2</v>
      </c>
      <c r="F40" s="38">
        <f t="shared" ca="1" si="3"/>
        <v>0.11658220779051136</v>
      </c>
      <c r="G40" s="15"/>
      <c r="H40" s="32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</row>
    <row r="41" spans="1:31" x14ac:dyDescent="0.25">
      <c r="A41" s="22">
        <v>4</v>
      </c>
      <c r="B41" s="15">
        <f t="shared" si="0"/>
        <v>0.25</v>
      </c>
      <c r="C41" s="15">
        <f t="shared" si="1"/>
        <v>6.25E-2</v>
      </c>
      <c r="D41" s="35">
        <f ca="1">SUM(B5:E8)</f>
        <v>0.19220289654531086</v>
      </c>
      <c r="E41" s="37">
        <f t="shared" ca="1" si="2"/>
        <v>1.2012681034081929E-2</v>
      </c>
      <c r="F41" s="38">
        <f t="shared" ca="1" si="3"/>
        <v>0.10960237695452563</v>
      </c>
      <c r="G41" s="15"/>
      <c r="H41" s="32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</row>
    <row r="42" spans="1:31" x14ac:dyDescent="0.25">
      <c r="A42" s="22">
        <v>5</v>
      </c>
      <c r="B42" s="15">
        <f t="shared" si="0"/>
        <v>0.2</v>
      </c>
      <c r="C42" s="15">
        <f t="shared" si="1"/>
        <v>4.0000000000000008E-2</v>
      </c>
      <c r="D42" s="35">
        <f ca="1">SUM(B5:F9)</f>
        <v>0.24484345463375526</v>
      </c>
      <c r="E42" s="37">
        <f t="shared" ca="1" si="2"/>
        <v>9.7937381853502124E-3</v>
      </c>
      <c r="F42" s="38">
        <f t="shared" ca="1" si="3"/>
        <v>9.8963317372399218E-2</v>
      </c>
      <c r="G42" s="15"/>
      <c r="H42" s="32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</row>
    <row r="43" spans="1:31" x14ac:dyDescent="0.25">
      <c r="A43" s="22">
        <v>6</v>
      </c>
      <c r="B43" s="15">
        <f t="shared" si="0"/>
        <v>0.16666666666666666</v>
      </c>
      <c r="C43" s="15">
        <f t="shared" si="1"/>
        <v>2.7777777777777776E-2</v>
      </c>
      <c r="D43" s="35">
        <f ca="1">SUM(B5:G10)</f>
        <v>0.31807786583665065</v>
      </c>
      <c r="E43" s="37">
        <f t="shared" ca="1" si="2"/>
        <v>8.8354962732402949E-3</v>
      </c>
      <c r="F43" s="38">
        <f t="shared" ca="1" si="3"/>
        <v>9.3997320564153816E-2</v>
      </c>
      <c r="G43" s="15"/>
      <c r="H43" s="32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</row>
    <row r="44" spans="1:31" x14ac:dyDescent="0.25">
      <c r="A44" s="22">
        <v>7</v>
      </c>
      <c r="B44" s="15">
        <f t="shared" si="0"/>
        <v>0.14285714285714285</v>
      </c>
      <c r="C44" s="15">
        <f t="shared" si="1"/>
        <v>2.0408163265306121E-2</v>
      </c>
      <c r="D44" s="35">
        <f ca="1">SUM(B5:H11)</f>
        <v>0.38261344519911633</v>
      </c>
      <c r="E44" s="37">
        <f t="shared" ca="1" si="2"/>
        <v>7.8084376571248221E-3</v>
      </c>
      <c r="F44" s="38">
        <f t="shared" ca="1" si="3"/>
        <v>8.8365364578690112E-2</v>
      </c>
      <c r="G44" s="15"/>
      <c r="H44" s="32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</row>
    <row r="45" spans="1:31" x14ac:dyDescent="0.25">
      <c r="A45" s="22">
        <v>8</v>
      </c>
      <c r="B45" s="15">
        <f t="shared" si="0"/>
        <v>0.125</v>
      </c>
      <c r="C45" s="15">
        <f t="shared" si="1"/>
        <v>1.5625E-2</v>
      </c>
      <c r="D45" s="35">
        <f ca="1">SUM(B5:I12)</f>
        <v>0.44598047704091065</v>
      </c>
      <c r="E45" s="37">
        <f t="shared" ca="1" si="2"/>
        <v>6.9684449537642289E-3</v>
      </c>
      <c r="F45" s="38">
        <f t="shared" ca="1" si="3"/>
        <v>8.3477212182512597E-2</v>
      </c>
      <c r="G45" s="15"/>
      <c r="H45" s="32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</row>
    <row r="46" spans="1:31" x14ac:dyDescent="0.25">
      <c r="A46" s="22">
        <v>9</v>
      </c>
      <c r="B46" s="15">
        <f t="shared" si="0"/>
        <v>0.1111111111111111</v>
      </c>
      <c r="C46" s="15">
        <f t="shared" si="1"/>
        <v>1.2345679012345678E-2</v>
      </c>
      <c r="D46" s="35">
        <f ca="1">SUM(B5:J13)</f>
        <v>0.51760311875941434</v>
      </c>
      <c r="E46" s="37">
        <f t="shared" ca="1" si="2"/>
        <v>6.3901619599927694E-3</v>
      </c>
      <c r="F46" s="38">
        <f t="shared" ca="1" si="3"/>
        <v>7.993848860212939E-2</v>
      </c>
      <c r="G46" s="15"/>
      <c r="H46" s="32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</row>
    <row r="47" spans="1:31" x14ac:dyDescent="0.25">
      <c r="A47" s="22">
        <v>10</v>
      </c>
      <c r="B47" s="15">
        <f t="shared" si="0"/>
        <v>0.1</v>
      </c>
      <c r="C47" s="15">
        <f t="shared" si="1"/>
        <v>1.0000000000000002E-2</v>
      </c>
      <c r="D47" s="35">
        <f ca="1">SUM(B5:K14)</f>
        <v>0.57479124085139144</v>
      </c>
      <c r="E47" s="37">
        <f t="shared" ca="1" si="2"/>
        <v>5.7479124085139154E-3</v>
      </c>
      <c r="F47" s="38">
        <f t="shared" ca="1" si="3"/>
        <v>7.5814988020271534E-2</v>
      </c>
      <c r="G47" s="15"/>
      <c r="H47" s="32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</row>
    <row r="48" spans="1:31" x14ac:dyDescent="0.25">
      <c r="A48" s="22">
        <v>11</v>
      </c>
      <c r="B48" s="15">
        <f t="shared" si="0"/>
        <v>9.0909090909090912E-2</v>
      </c>
      <c r="C48" s="15">
        <f t="shared" si="1"/>
        <v>8.2644628099173556E-3</v>
      </c>
      <c r="D48" s="35">
        <f ca="1">SUM(B5:L15)</f>
        <v>0.66875830263864566</v>
      </c>
      <c r="E48" s="37">
        <f t="shared" ca="1" si="2"/>
        <v>5.5269281209805428E-3</v>
      </c>
      <c r="F48" s="38">
        <f t="shared" ca="1" si="3"/>
        <v>7.43433125504947E-2</v>
      </c>
      <c r="G48" s="15"/>
      <c r="H48" s="32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</row>
    <row r="49" spans="1:31" x14ac:dyDescent="0.25">
      <c r="A49" s="22">
        <v>12</v>
      </c>
      <c r="B49" s="15">
        <f t="shared" si="0"/>
        <v>8.3333333333333329E-2</v>
      </c>
      <c r="C49" s="15">
        <f t="shared" si="1"/>
        <v>6.9444444444444441E-3</v>
      </c>
      <c r="D49" s="35">
        <f ca="1">SUM(B5:M16)</f>
        <v>0.66953829373511542</v>
      </c>
      <c r="E49" s="37">
        <f t="shared" ca="1" si="2"/>
        <v>4.6495714842716349E-3</v>
      </c>
      <c r="F49" s="38">
        <f t="shared" ca="1" si="3"/>
        <v>6.8187766382773046E-2</v>
      </c>
      <c r="G49" s="15"/>
      <c r="H49" s="32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</row>
    <row r="50" spans="1:31" x14ac:dyDescent="0.25">
      <c r="A50" s="22">
        <v>13</v>
      </c>
      <c r="B50" s="15">
        <f t="shared" si="0"/>
        <v>7.6923076923076927E-2</v>
      </c>
      <c r="C50" s="15">
        <f t="shared" si="1"/>
        <v>5.9171597633136102E-3</v>
      </c>
      <c r="D50" s="35">
        <f ca="1">SUM(B5:N17)</f>
        <v>0.74544903744108393</v>
      </c>
      <c r="E50" s="37">
        <f t="shared" ca="1" si="2"/>
        <v>4.4109410499472423E-3</v>
      </c>
      <c r="F50" s="38">
        <f t="shared" ca="1" si="3"/>
        <v>6.6414915869458441E-2</v>
      </c>
      <c r="G50" s="15"/>
      <c r="H50" s="32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</row>
    <row r="51" spans="1:31" x14ac:dyDescent="0.25">
      <c r="A51" s="22">
        <v>14</v>
      </c>
      <c r="B51" s="15">
        <f t="shared" si="0"/>
        <v>7.1428571428571425E-2</v>
      </c>
      <c r="C51" s="15">
        <f t="shared" si="1"/>
        <v>5.1020408163265302E-3</v>
      </c>
      <c r="D51" s="35">
        <f ca="1">SUM(B5:O18)</f>
        <v>0.81466880686972265</v>
      </c>
      <c r="E51" s="37">
        <f t="shared" ca="1" si="2"/>
        <v>4.1564735044373599E-3</v>
      </c>
      <c r="F51" s="38">
        <f t="shared" ca="1" si="3"/>
        <v>6.4470718193900711E-2</v>
      </c>
      <c r="G51" s="15"/>
      <c r="H51" s="32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</row>
    <row r="52" spans="1:31" x14ac:dyDescent="0.25">
      <c r="A52" s="22">
        <v>15</v>
      </c>
      <c r="B52" s="15">
        <f t="shared" si="0"/>
        <v>6.6666666666666666E-2</v>
      </c>
      <c r="C52" s="15">
        <f t="shared" si="1"/>
        <v>4.4444444444444444E-3</v>
      </c>
      <c r="D52" s="35">
        <f ca="1">SUM(B5:P19)</f>
        <v>0.84752728920481801</v>
      </c>
      <c r="E52" s="37">
        <f t="shared" ca="1" si="2"/>
        <v>3.7667879520214133E-3</v>
      </c>
      <c r="F52" s="38">
        <f t="shared" ca="1" si="3"/>
        <v>6.1374163554556188E-2</v>
      </c>
      <c r="G52" s="15"/>
      <c r="H52" s="32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</row>
    <row r="53" spans="1:31" x14ac:dyDescent="0.25">
      <c r="A53" s="22">
        <v>16</v>
      </c>
      <c r="B53" s="15">
        <f t="shared" si="0"/>
        <v>6.25E-2</v>
      </c>
      <c r="C53" s="15">
        <f t="shared" si="1"/>
        <v>3.90625E-3</v>
      </c>
      <c r="D53" s="35">
        <f ca="1">SUM(B5:Q20)</f>
        <v>0.93052767588126872</v>
      </c>
      <c r="E53" s="37">
        <f t="shared" ca="1" si="2"/>
        <v>3.634873733911206E-3</v>
      </c>
      <c r="F53" s="38">
        <f t="shared" ca="1" si="3"/>
        <v>6.0289914031380121E-2</v>
      </c>
      <c r="G53" s="15"/>
      <c r="H53" s="32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</row>
    <row r="54" spans="1:31" x14ac:dyDescent="0.25">
      <c r="A54" s="22">
        <v>17</v>
      </c>
      <c r="B54" s="15">
        <f t="shared" si="0"/>
        <v>5.8823529411764705E-2</v>
      </c>
      <c r="C54" s="15">
        <f t="shared" si="1"/>
        <v>3.4602076124567475E-3</v>
      </c>
      <c r="D54" s="35">
        <f ca="1">SUM(B5:R21)</f>
        <v>0.97510050580956942</v>
      </c>
      <c r="E54" s="37">
        <f t="shared" ca="1" si="2"/>
        <v>3.3740501931126972E-3</v>
      </c>
      <c r="F54" s="38">
        <f t="shared" ca="1" si="3"/>
        <v>5.8086574981769216E-2</v>
      </c>
      <c r="G54" s="15"/>
      <c r="H54" s="32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</row>
    <row r="55" spans="1:31" x14ac:dyDescent="0.25">
      <c r="A55" s="22">
        <v>18</v>
      </c>
      <c r="B55" s="15">
        <f t="shared" si="0"/>
        <v>5.5555555555555552E-2</v>
      </c>
      <c r="C55" s="15">
        <f t="shared" si="1"/>
        <v>3.0864197530864196E-3</v>
      </c>
      <c r="D55" s="35">
        <f ca="1">SUM(B5:S22)</f>
        <v>1.0623690027508981</v>
      </c>
      <c r="E55" s="37">
        <f t="shared" ca="1" si="2"/>
        <v>3.2789166751570928E-3</v>
      </c>
      <c r="F55" s="38">
        <f t="shared" ca="1" si="3"/>
        <v>5.7261825635907669E-2</v>
      </c>
      <c r="G55" s="15"/>
      <c r="H55" s="32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</row>
    <row r="56" spans="1:31" x14ac:dyDescent="0.25">
      <c r="A56" s="22">
        <v>19</v>
      </c>
      <c r="B56" s="15">
        <f t="shared" si="0"/>
        <v>5.2631578947368418E-2</v>
      </c>
      <c r="C56" s="15">
        <f t="shared" si="1"/>
        <v>2.7700831024930744E-3</v>
      </c>
      <c r="D56" s="35">
        <f ca="1">SUM(B5:T23)</f>
        <v>1.1555379376007977</v>
      </c>
      <c r="E56" s="37">
        <f t="shared" ca="1" si="2"/>
        <v>3.2009361152376663E-3</v>
      </c>
      <c r="F56" s="38">
        <f t="shared" ca="1" si="3"/>
        <v>5.6576816057795853E-2</v>
      </c>
      <c r="G56" s="15"/>
      <c r="H56" s="32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</row>
    <row r="57" spans="1:31" x14ac:dyDescent="0.25">
      <c r="A57" s="22">
        <v>20</v>
      </c>
      <c r="B57" s="15">
        <f t="shared" si="0"/>
        <v>0.05</v>
      </c>
      <c r="C57" s="15">
        <f t="shared" si="1"/>
        <v>2.5000000000000005E-3</v>
      </c>
      <c r="D57" s="35">
        <f ca="1">SUM(B5:U24)</f>
        <v>1.2621945785142288</v>
      </c>
      <c r="E57" s="37">
        <f t="shared" ca="1" si="2"/>
        <v>3.1554864462855726E-3</v>
      </c>
      <c r="F57" s="38">
        <f t="shared" ca="1" si="3"/>
        <v>5.6173716685702507E-2</v>
      </c>
      <c r="G57" s="15"/>
      <c r="H57" s="32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</row>
    <row r="58" spans="1:31" x14ac:dyDescent="0.25">
      <c r="A58" s="22">
        <v>21</v>
      </c>
      <c r="B58" s="15">
        <f t="shared" si="0"/>
        <v>4.7619047619047616E-2</v>
      </c>
      <c r="C58" s="15">
        <f t="shared" si="1"/>
        <v>2.2675736961451243E-3</v>
      </c>
      <c r="D58" s="35">
        <f ca="1">SUM(B5:V25)</f>
        <v>1.3671145363361059</v>
      </c>
      <c r="E58" s="37">
        <f t="shared" ca="1" si="2"/>
        <v>3.1000329622133914E-3</v>
      </c>
      <c r="F58" s="38">
        <f t="shared" ca="1" si="3"/>
        <v>5.5677939636927937E-2</v>
      </c>
      <c r="G58" s="15"/>
      <c r="H58" s="32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</row>
    <row r="59" spans="1:31" x14ac:dyDescent="0.25">
      <c r="A59" s="22">
        <v>22</v>
      </c>
      <c r="B59" s="15">
        <f t="shared" si="0"/>
        <v>4.5454545454545456E-2</v>
      </c>
      <c r="C59" s="15">
        <f t="shared" si="1"/>
        <v>2.0661157024793389E-3</v>
      </c>
      <c r="D59" s="35">
        <f ca="1">SUM(B5:W26)</f>
        <v>1.408653870767105</v>
      </c>
      <c r="E59" s="37">
        <f t="shared" ca="1" si="2"/>
        <v>2.9104418817502173E-3</v>
      </c>
      <c r="F59" s="38">
        <f t="shared" ca="1" si="3"/>
        <v>5.3948511395127643E-2</v>
      </c>
      <c r="G59" s="15"/>
      <c r="H59" s="32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</row>
    <row r="60" spans="1:31" x14ac:dyDescent="0.25">
      <c r="A60" s="22">
        <v>23</v>
      </c>
      <c r="B60" s="15">
        <f t="shared" si="0"/>
        <v>4.3478260869565216E-2</v>
      </c>
      <c r="C60" s="15">
        <f t="shared" si="1"/>
        <v>1.8903591682419658E-3</v>
      </c>
      <c r="D60" s="35">
        <f ca="1">SUM(B5:X27)</f>
        <v>1.4685235974058204</v>
      </c>
      <c r="E60" s="37">
        <f t="shared" ca="1" si="2"/>
        <v>2.7760370461357661E-3</v>
      </c>
      <c r="F60" s="38">
        <f t="shared" ca="1" si="3"/>
        <v>5.2688111051125815E-2</v>
      </c>
      <c r="G60" s="15"/>
      <c r="H60" s="32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</row>
    <row r="61" spans="1:31" x14ac:dyDescent="0.25">
      <c r="A61" s="22">
        <v>24</v>
      </c>
      <c r="B61" s="15">
        <f t="shared" si="0"/>
        <v>4.1666666666666664E-2</v>
      </c>
      <c r="C61" s="15">
        <f t="shared" si="1"/>
        <v>1.736111111111111E-3</v>
      </c>
      <c r="D61" s="35">
        <f ca="1">SUM(B5:Y28)</f>
        <v>1.5051818082951147</v>
      </c>
      <c r="E61" s="37">
        <f t="shared" ca="1" si="2"/>
        <v>2.6131628616234627E-3</v>
      </c>
      <c r="F61" s="38">
        <f t="shared" ca="1" si="3"/>
        <v>5.1119104663750352E-2</v>
      </c>
      <c r="G61" s="15"/>
      <c r="H61" s="32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</row>
    <row r="62" spans="1:31" x14ac:dyDescent="0.25">
      <c r="A62" s="22">
        <v>25</v>
      </c>
      <c r="B62" s="15">
        <f t="shared" si="0"/>
        <v>0.04</v>
      </c>
      <c r="C62" s="15">
        <f t="shared" si="1"/>
        <v>1.6000000000000001E-3</v>
      </c>
      <c r="D62" s="35">
        <f ca="1">SUM(B5:Z29)</f>
        <v>1.6025307834963347</v>
      </c>
      <c r="E62" s="37">
        <f t="shared" ca="1" si="2"/>
        <v>2.5640492535941358E-3</v>
      </c>
      <c r="F62" s="38">
        <f t="shared" ca="1" si="3"/>
        <v>5.0636441952354193E-2</v>
      </c>
      <c r="G62" s="15"/>
      <c r="H62" s="32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</row>
    <row r="63" spans="1:31" x14ac:dyDescent="0.25">
      <c r="A63" s="22">
        <v>26</v>
      </c>
      <c r="B63" s="15">
        <f t="shared" si="0"/>
        <v>3.8461538461538464E-2</v>
      </c>
      <c r="C63" s="15">
        <f t="shared" si="1"/>
        <v>1.4792899408284025E-3</v>
      </c>
      <c r="D63" s="35">
        <f ca="1">SUM(B5:AA30)</f>
        <v>1.6982493278524879</v>
      </c>
      <c r="E63" s="37">
        <f t="shared" ca="1" si="2"/>
        <v>2.5122031477107813E-3</v>
      </c>
      <c r="F63" s="38">
        <f t="shared" ca="1" si="3"/>
        <v>5.0121882922639499E-2</v>
      </c>
      <c r="G63" s="15"/>
      <c r="H63" s="32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</row>
    <row r="64" spans="1:31" x14ac:dyDescent="0.25">
      <c r="A64" s="22">
        <v>27</v>
      </c>
      <c r="B64" s="15">
        <f t="shared" si="0"/>
        <v>3.7037037037037035E-2</v>
      </c>
      <c r="C64" s="15">
        <f t="shared" si="1"/>
        <v>1.3717421124828531E-3</v>
      </c>
      <c r="D64" s="35">
        <f ca="1">SUM(B5:AB31)</f>
        <v>1.773772603402832</v>
      </c>
      <c r="E64" s="37">
        <f t="shared" ca="1" si="2"/>
        <v>2.433158578056011E-3</v>
      </c>
      <c r="F64" s="38">
        <f t="shared" ca="1" si="3"/>
        <v>4.9327057261263935E-2</v>
      </c>
      <c r="G64" s="15"/>
      <c r="H64" s="32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</row>
    <row r="65" spans="1:31" x14ac:dyDescent="0.25">
      <c r="A65" s="22">
        <v>28</v>
      </c>
      <c r="B65" s="15">
        <f t="shared" si="0"/>
        <v>3.5714285714285712E-2</v>
      </c>
      <c r="C65" s="15">
        <f t="shared" si="1"/>
        <v>1.2755102040816326E-3</v>
      </c>
      <c r="D65" s="35">
        <f ca="1">SUM(B5:AC32)</f>
        <v>1.8468001454533973</v>
      </c>
      <c r="E65" s="37">
        <f t="shared" ca="1" si="2"/>
        <v>2.3556124304252514E-3</v>
      </c>
      <c r="F65" s="38">
        <f t="shared" ca="1" si="3"/>
        <v>4.8534651852313225E-2</v>
      </c>
      <c r="G65" s="15"/>
      <c r="H65" s="32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</row>
    <row r="66" spans="1:31" x14ac:dyDescent="0.25">
      <c r="A66" s="22">
        <v>29</v>
      </c>
      <c r="B66" s="15">
        <f t="shared" si="0"/>
        <v>3.4482758620689655E-2</v>
      </c>
      <c r="C66" s="15">
        <f t="shared" si="1"/>
        <v>1.1890606420927466E-3</v>
      </c>
      <c r="D66" s="35">
        <f ca="1">SUM(B5:AD33)</f>
        <v>1.8885021810879761</v>
      </c>
      <c r="E66" s="37">
        <f t="shared" ca="1" si="2"/>
        <v>2.2455436160380214E-3</v>
      </c>
      <c r="F66" s="38">
        <f t="shared" ca="1" si="3"/>
        <v>4.7387167208412254E-2</v>
      </c>
      <c r="G66" s="15"/>
      <c r="H66" s="32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</row>
    <row r="67" spans="1:31" x14ac:dyDescent="0.25">
      <c r="A67" s="22">
        <v>30</v>
      </c>
      <c r="B67" s="15">
        <f t="shared" si="0"/>
        <v>3.3333333333333333E-2</v>
      </c>
      <c r="C67" s="15">
        <f t="shared" si="1"/>
        <v>1.1111111111111111E-3</v>
      </c>
      <c r="D67" s="35">
        <f ca="1">SUM(B5:AE34)</f>
        <v>1.9577560719758722</v>
      </c>
      <c r="E67" s="37">
        <f t="shared" ca="1" si="2"/>
        <v>2.1752845244176356E-3</v>
      </c>
      <c r="F67" s="38">
        <f t="shared" ca="1" si="3"/>
        <v>4.663994558763588E-2</v>
      </c>
      <c r="G67" s="15"/>
      <c r="H67" s="32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</row>
  </sheetData>
  <mergeCells count="1">
    <mergeCell ref="A36:F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AE5A2-54BA-4F97-AA2D-24E9D842AFBB}">
  <dimension ref="A1:S33"/>
  <sheetViews>
    <sheetView topLeftCell="A2" workbookViewId="0">
      <selection activeCell="L32" sqref="L32"/>
    </sheetView>
  </sheetViews>
  <sheetFormatPr defaultColWidth="5.9375" defaultRowHeight="15.75" x14ac:dyDescent="0.25"/>
  <cols>
    <col min="1" max="13" width="5.5625" style="1" customWidth="1"/>
    <col min="14" max="14" width="5.5" style="1" customWidth="1"/>
    <col min="15" max="15" width="4.875" style="1" customWidth="1"/>
    <col min="16" max="16" width="5.5" style="1" customWidth="1"/>
    <col min="17" max="17" width="4.9375" style="1" customWidth="1"/>
    <col min="18" max="18" width="5.5625" style="1" customWidth="1"/>
    <col min="19" max="19" width="5.4375" style="1" customWidth="1"/>
    <col min="20" max="16384" width="5.9375" style="1"/>
  </cols>
  <sheetData>
    <row r="1" spans="1:19" x14ac:dyDescent="0.2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23" t="s">
        <v>55</v>
      </c>
      <c r="Q1" s="15"/>
      <c r="R1" s="23" t="s">
        <v>56</v>
      </c>
      <c r="S1" s="23" t="s">
        <v>57</v>
      </c>
    </row>
    <row r="2" spans="1:19" x14ac:dyDescent="0.2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45" t="s">
        <v>58</v>
      </c>
      <c r="O2" s="45"/>
      <c r="P2" s="40" t="s">
        <v>45</v>
      </c>
      <c r="Q2" s="40" t="s">
        <v>59</v>
      </c>
      <c r="R2" s="40" t="s">
        <v>45</v>
      </c>
      <c r="S2" s="29" t="s">
        <v>45</v>
      </c>
    </row>
    <row r="3" spans="1:19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22">
        <v>1</v>
      </c>
      <c r="O3" s="22" t="str">
        <f>'Var-Cov Matrix'!A5</f>
        <v>tsla</v>
      </c>
      <c r="P3" s="32">
        <f ca="1">'Corr. Matrix'!B40</f>
        <v>0.17077040558825721</v>
      </c>
      <c r="Q3" s="41">
        <f ca="1">(AVERAGE('Corr. Matrix'!C6:AF6)-(1/30))*(30/29)</f>
        <v>0.15661889812870505</v>
      </c>
      <c r="R3" s="25">
        <f ca="1">AVERAGE($P$3:P3)</f>
        <v>0.17077040558825721</v>
      </c>
      <c r="S3" s="32">
        <f ca="1">'Var-Cov Matrix'!F38</f>
        <v>0.17077040558825721</v>
      </c>
    </row>
    <row r="4" spans="1:19" x14ac:dyDescent="0.2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22">
        <v>2</v>
      </c>
      <c r="O4" s="22" t="str">
        <f>'Var-Cov Matrix'!A6</f>
        <v>rcl</v>
      </c>
      <c r="P4" s="32">
        <f ca="1">'Corr. Matrix'!B41</f>
        <v>0.1506545823853192</v>
      </c>
      <c r="Q4" s="41">
        <f ca="1">(AVERAGE('Corr. Matrix'!C7:AF7)-(1/30))*(30/29)</f>
        <v>0.29531311822889156</v>
      </c>
      <c r="R4" s="25">
        <f ca="1">AVERAGE($P$3:P4)</f>
        <v>0.16071249398678822</v>
      </c>
      <c r="S4" s="32">
        <f ca="1">'Var-Cov Matrix'!F39</f>
        <v>0.12793492161122241</v>
      </c>
    </row>
    <row r="5" spans="1:19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22">
        <v>3</v>
      </c>
      <c r="O5" s="22" t="str">
        <f>'Var-Cov Matrix'!A7</f>
        <v>nvda</v>
      </c>
      <c r="P5" s="32">
        <f ca="1">'Corr. Matrix'!B42</f>
        <v>0.14315802302812619</v>
      </c>
      <c r="Q5" s="41">
        <f ca="1">(AVERAGE('Corr. Matrix'!C8:AF8)-(1/30))*(30/29)</f>
        <v>0.27590925025894364</v>
      </c>
      <c r="R5" s="25">
        <f ca="1">AVERAGE($P$3:P5)</f>
        <v>0.15486100366723421</v>
      </c>
      <c r="S5" s="32">
        <f ca="1">'Var-Cov Matrix'!F40</f>
        <v>0.11658220779051136</v>
      </c>
    </row>
    <row r="6" spans="1:19" x14ac:dyDescent="0.25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22">
        <v>4</v>
      </c>
      <c r="O6" s="22" t="str">
        <f>'Var-Cov Matrix'!A8</f>
        <v>ual</v>
      </c>
      <c r="P6" s="32">
        <f ca="1">'Corr. Matrix'!B43</f>
        <v>0.1292143486068118</v>
      </c>
      <c r="Q6" s="41">
        <f ca="1">(AVERAGE('Corr. Matrix'!C9:AF9)-(1/30))*(30/29)</f>
        <v>0.25104635758079291</v>
      </c>
      <c r="R6" s="25">
        <f ca="1">AVERAGE($P$3:P6)</f>
        <v>0.14844933990212861</v>
      </c>
      <c r="S6" s="32">
        <f ca="1">'Var-Cov Matrix'!F41</f>
        <v>0.10960237695452563</v>
      </c>
    </row>
    <row r="7" spans="1:19" x14ac:dyDescent="0.25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22">
        <v>5</v>
      </c>
      <c r="O7" s="22" t="str">
        <f>'Var-Cov Matrix'!A9</f>
        <v>meta</v>
      </c>
      <c r="P7" s="32">
        <f ca="1">'Corr. Matrix'!B44</f>
        <v>0.12214917344035947</v>
      </c>
      <c r="Q7" s="41">
        <f ca="1">(AVERAGE('Corr. Matrix'!C10:AF10)-(1/30))*(30/29)</f>
        <v>0.18644813436002378</v>
      </c>
      <c r="R7" s="25">
        <f ca="1">AVERAGE($P$3:P7)</f>
        <v>0.14318930660977477</v>
      </c>
      <c r="S7" s="32">
        <f ca="1">'Var-Cov Matrix'!F42</f>
        <v>9.8963317372399218E-2</v>
      </c>
    </row>
    <row r="8" spans="1:19" x14ac:dyDescent="0.2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22">
        <v>6</v>
      </c>
      <c r="O8" s="22" t="str">
        <f>'Var-Cov Matrix'!A10</f>
        <v>f</v>
      </c>
      <c r="P8" s="32">
        <f ca="1">'Corr. Matrix'!B45</f>
        <v>0.11683812283605026</v>
      </c>
      <c r="Q8" s="41">
        <f ca="1">(AVERAGE('Corr. Matrix'!C11:AF11)-(1/30))*(30/29)</f>
        <v>0.30565577748321293</v>
      </c>
      <c r="R8" s="25">
        <f ca="1">AVERAGE($P$3:P8)</f>
        <v>0.13879744264748736</v>
      </c>
      <c r="S8" s="32">
        <f ca="1">'Var-Cov Matrix'!F43</f>
        <v>9.3997320564153816E-2</v>
      </c>
    </row>
    <row r="9" spans="1:19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22">
        <v>7</v>
      </c>
      <c r="O9" s="22" t="str">
        <f>'Var-Cov Matrix'!A11</f>
        <v>hog</v>
      </c>
      <c r="P9" s="32">
        <f ca="1">'Corr. Matrix'!B46</f>
        <v>0.11502015591775967</v>
      </c>
      <c r="Q9" s="41">
        <f ca="1">(AVERAGE('Corr. Matrix'!C12:AF12)-(1/30))*(30/29)</f>
        <v>0.27910353086694178</v>
      </c>
      <c r="R9" s="25">
        <f ca="1">AVERAGE($P$3:P9)</f>
        <v>0.13540068740038341</v>
      </c>
      <c r="S9" s="32">
        <f ca="1">'Var-Cov Matrix'!F44</f>
        <v>8.8365364578690112E-2</v>
      </c>
    </row>
    <row r="10" spans="1:19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22">
        <v>8</v>
      </c>
      <c r="O10" s="22" t="str">
        <f>'Var-Cov Matrix'!A12</f>
        <v>pzza</v>
      </c>
      <c r="P10" s="32">
        <f ca="1">'Corr. Matrix'!B47</f>
        <v>0.10922667400500832</v>
      </c>
      <c r="Q10" s="41">
        <f ca="1">(AVERAGE('Corr. Matrix'!C13:AF13)-(1/30))*(30/29)</f>
        <v>0.23766778328375676</v>
      </c>
      <c r="R10" s="25">
        <f ca="1">AVERAGE($P$3:P10)</f>
        <v>0.13212893572596152</v>
      </c>
      <c r="S10" s="32">
        <f ca="1">'Var-Cov Matrix'!F45</f>
        <v>8.3477212182512597E-2</v>
      </c>
    </row>
    <row r="11" spans="1:19" x14ac:dyDescent="0.2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22">
        <v>9</v>
      </c>
      <c r="O11" s="22" t="str">
        <f>'Var-Cov Matrix'!A13</f>
        <v>ba</v>
      </c>
      <c r="P11" s="32">
        <f ca="1">'Corr. Matrix'!B48</f>
        <v>0.10326285050054611</v>
      </c>
      <c r="Q11" s="41">
        <f ca="1">(AVERAGE('Corr. Matrix'!C14:AF14)-(1/30))*(30/29)</f>
        <v>0.24415423730962113</v>
      </c>
      <c r="R11" s="25">
        <f ca="1">AVERAGE($P$3:P11)</f>
        <v>0.1289215929231376</v>
      </c>
      <c r="S11" s="32">
        <f ca="1">'Var-Cov Matrix'!F46</f>
        <v>7.993848860212939E-2</v>
      </c>
    </row>
    <row r="12" spans="1:19" x14ac:dyDescent="0.25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22">
        <v>10</v>
      </c>
      <c r="O12" s="22" t="str">
        <f>'Var-Cov Matrix'!A14</f>
        <v>cmg</v>
      </c>
      <c r="P12" s="32">
        <f ca="1">'Corr. Matrix'!B49</f>
        <v>9.5129449505817976E-2</v>
      </c>
      <c r="Q12" s="41">
        <f ca="1">(AVERAGE('Corr. Matrix'!C15:AF15)-(1/30))*(30/29)</f>
        <v>0.21746617601576432</v>
      </c>
      <c r="R12" s="25">
        <f ca="1">AVERAGE($P$3:P12)</f>
        <v>0.12554237858140563</v>
      </c>
      <c r="S12" s="32">
        <f ca="1">'Var-Cov Matrix'!F47</f>
        <v>7.5814988020271534E-2</v>
      </c>
    </row>
    <row r="13" spans="1:19" x14ac:dyDescent="0.25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22">
        <v>11</v>
      </c>
      <c r="O13" s="22" t="str">
        <f>'Var-Cov Matrix'!A15</f>
        <v>cat</v>
      </c>
      <c r="P13" s="32">
        <f ca="1">'Corr. Matrix'!B50</f>
        <v>9.5097323487641841E-2</v>
      </c>
      <c r="Q13" s="41">
        <f ca="1">(AVERAGE('Corr. Matrix'!C16:AF16)-(1/30))*(30/29)</f>
        <v>0.35804061885551053</v>
      </c>
      <c r="R13" s="25">
        <f ca="1">AVERAGE($P$3:P13)</f>
        <v>0.12277464630015436</v>
      </c>
      <c r="S13" s="32">
        <f ca="1">'Var-Cov Matrix'!F48</f>
        <v>7.43433125504947E-2</v>
      </c>
    </row>
    <row r="14" spans="1:19" x14ac:dyDescent="0.2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22">
        <v>12</v>
      </c>
      <c r="O14" s="22" t="str">
        <f>'Var-Cov Matrix'!A16</f>
        <v>lly</v>
      </c>
      <c r="P14" s="32">
        <f ca="1">'Corr. Matrix'!B51</f>
        <v>9.2191723209240448E-2</v>
      </c>
      <c r="Q14" s="41">
        <f ca="1">(AVERAGE('Corr. Matrix'!C17:AF17)-(1/30))*(30/29)</f>
        <v>5.8802133211925234E-2</v>
      </c>
      <c r="R14" s="25">
        <f ca="1">AVERAGE($P$3:P14)</f>
        <v>0.12022606937591153</v>
      </c>
      <c r="S14" s="32">
        <f ca="1">'Var-Cov Matrix'!F49</f>
        <v>6.8187766382773046E-2</v>
      </c>
    </row>
    <row r="15" spans="1:19" x14ac:dyDescent="0.25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22">
        <v>13</v>
      </c>
      <c r="O15" s="22" t="str">
        <f>'Var-Cov Matrix'!A17</f>
        <v>googl</v>
      </c>
      <c r="P15" s="32">
        <f ca="1">'Corr. Matrix'!B52</f>
        <v>8.0672372413901447E-2</v>
      </c>
      <c r="Q15" s="41">
        <f ca="1">(AVERAGE('Corr. Matrix'!C18:AF18)-(1/30))*(30/29)</f>
        <v>0.22358008670003071</v>
      </c>
      <c r="R15" s="25">
        <f ca="1">AVERAGE($P$3:P15)</f>
        <v>0.11718347730191075</v>
      </c>
      <c r="S15" s="32">
        <f ca="1">'Var-Cov Matrix'!F50</f>
        <v>6.6414915869458441E-2</v>
      </c>
    </row>
    <row r="16" spans="1:19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22">
        <v>14</v>
      </c>
      <c r="O16" s="22" t="str">
        <f>'Var-Cov Matrix'!A18</f>
        <v>mmm</v>
      </c>
      <c r="P16" s="32">
        <f ca="1">'Corr. Matrix'!B53</f>
        <v>7.8448139717499019E-2</v>
      </c>
      <c r="Q16" s="41">
        <f ca="1">(AVERAGE('Corr. Matrix'!C19:AF19)-(1/30))*(30/29)</f>
        <v>0.34139520470557627</v>
      </c>
      <c r="R16" s="25">
        <f ca="1">AVERAGE($P$3:P16)</f>
        <v>0.11441666747445277</v>
      </c>
      <c r="S16" s="32">
        <f ca="1">'Var-Cov Matrix'!F51</f>
        <v>6.4470718193900711E-2</v>
      </c>
    </row>
    <row r="17" spans="1:19" x14ac:dyDescent="0.2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22">
        <v>15</v>
      </c>
      <c r="O17" s="22" t="str">
        <f>'Var-Cov Matrix'!A19</f>
        <v>xom</v>
      </c>
      <c r="P17" s="32">
        <f ca="1">'Corr. Matrix'!B54</f>
        <v>7.4722277843304694E-2</v>
      </c>
      <c r="Q17" s="41">
        <f ca="1">(AVERAGE('Corr. Matrix'!C20:AF20)-(1/30))*(30/29)</f>
        <v>0.14353217294734896</v>
      </c>
      <c r="R17" s="25">
        <f ca="1">AVERAGE($P$3:P17)</f>
        <v>0.11177037483237623</v>
      </c>
      <c r="S17" s="32">
        <f ca="1">'Var-Cov Matrix'!F52</f>
        <v>6.1374163554556188E-2</v>
      </c>
    </row>
    <row r="18" spans="1:19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22">
        <v>16</v>
      </c>
      <c r="O18" s="22" t="str">
        <f>'Var-Cov Matrix'!A20</f>
        <v>grmn</v>
      </c>
      <c r="P18" s="32">
        <f ca="1">'Corr. Matrix'!B55</f>
        <v>7.4049933212371147E-2</v>
      </c>
      <c r="Q18" s="41">
        <f ca="1">(AVERAGE('Corr. Matrix'!C21:AF21)-(1/30))*(30/29)</f>
        <v>0.31829687881029411</v>
      </c>
      <c r="R18" s="25">
        <f ca="1">AVERAGE($P$3:P18)</f>
        <v>0.10941284723112592</v>
      </c>
      <c r="S18" s="32">
        <f ca="1">'Var-Cov Matrix'!F53</f>
        <v>6.0289914031380121E-2</v>
      </c>
    </row>
    <row r="19" spans="1:19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22">
        <v>17</v>
      </c>
      <c r="O19" s="22" t="str">
        <f>'Var-Cov Matrix'!A21</f>
        <v>ibm</v>
      </c>
      <c r="P19" s="32">
        <f ca="1">'Corr. Matrix'!B56</f>
        <v>7.0748332719404478E-2</v>
      </c>
      <c r="Q19" s="41">
        <f ca="1">(AVERAGE('Corr. Matrix'!C22:AF22)-(1/30))*(30/29)</f>
        <v>0.22809434208501619</v>
      </c>
      <c r="R19" s="25">
        <f ca="1">AVERAGE($P$3:P19)</f>
        <v>0.10713846402455407</v>
      </c>
      <c r="S19" s="32">
        <f ca="1">'Var-Cov Matrix'!F54</f>
        <v>5.8086574981769216E-2</v>
      </c>
    </row>
    <row r="20" spans="1:19" x14ac:dyDescent="0.2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22">
        <v>18</v>
      </c>
      <c r="O20" s="22" t="str">
        <f>'Var-Cov Matrix'!A22</f>
        <v>aapl</v>
      </c>
      <c r="P20" s="32">
        <f ca="1">'Corr. Matrix'!B57</f>
        <v>7.0730697105764517E-2</v>
      </c>
      <c r="Q20" s="41">
        <f ca="1">(AVERAGE('Corr. Matrix'!C23:AF23)-(1/30))*(30/29)</f>
        <v>0.3090224459669339</v>
      </c>
      <c r="R20" s="25">
        <f ca="1">AVERAGE($P$3:P20)</f>
        <v>0.10511581030684354</v>
      </c>
      <c r="S20" s="32">
        <f ca="1">'Var-Cov Matrix'!F55</f>
        <v>5.7261825635907669E-2</v>
      </c>
    </row>
    <row r="21" spans="1:19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22">
        <v>19</v>
      </c>
      <c r="O21" s="22" t="str">
        <f>'Var-Cov Matrix'!A23</f>
        <v>hd</v>
      </c>
      <c r="P21" s="32">
        <f ca="1">'Corr. Matrix'!B58</f>
        <v>6.8746960145942462E-2</v>
      </c>
      <c r="Q21" s="41">
        <f ca="1">(AVERAGE('Corr. Matrix'!C24:AF24)-(1/30))*(30/29)</f>
        <v>0.35623014868447883</v>
      </c>
      <c r="R21" s="25">
        <f ca="1">AVERAGE($P$3:P21)</f>
        <v>0.10320166029837508</v>
      </c>
      <c r="S21" s="32">
        <f ca="1">'Var-Cov Matrix'!F56</f>
        <v>5.6576816057795853E-2</v>
      </c>
    </row>
    <row r="22" spans="1:19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22">
        <v>20</v>
      </c>
      <c r="O22" s="22" t="str">
        <f>'Var-Cov Matrix'!A24</f>
        <v>jpm</v>
      </c>
      <c r="P22" s="32">
        <f ca="1">'Corr. Matrix'!B59</f>
        <v>6.8152751434408285E-2</v>
      </c>
      <c r="Q22" s="41">
        <f ca="1">(AVERAGE('Corr. Matrix'!C25:AF25)-(1/30))*(30/29)</f>
        <v>0.35194934041567072</v>
      </c>
      <c r="R22" s="25">
        <f ca="1">AVERAGE($P$3:P22)</f>
        <v>0.10144921485517673</v>
      </c>
      <c r="S22" s="32">
        <f ca="1">'Var-Cov Matrix'!F57</f>
        <v>5.6173716685702507E-2</v>
      </c>
    </row>
    <row r="23" spans="1:19" x14ac:dyDescent="0.2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22">
        <v>21</v>
      </c>
      <c r="O23" s="22" t="str">
        <f>'Var-Cov Matrix'!A25</f>
        <v>pru</v>
      </c>
      <c r="P23" s="32">
        <f ca="1">'Corr. Matrix'!B60</f>
        <v>6.7650466844591528E-2</v>
      </c>
      <c r="Q23" s="41">
        <f ca="1">(AVERAGE('Corr. Matrix'!C26:AF26)-(1/30))*(30/29)</f>
        <v>0.3543364939170518</v>
      </c>
      <c r="R23" s="25">
        <f ca="1">AVERAGE($P$3:P23)</f>
        <v>9.983975066419648E-2</v>
      </c>
      <c r="S23" s="32">
        <f ca="1">'Var-Cov Matrix'!F58</f>
        <v>5.5677939636927937E-2</v>
      </c>
    </row>
    <row r="24" spans="1:19" x14ac:dyDescent="0.2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22">
        <v>22</v>
      </c>
      <c r="O24" s="22" t="str">
        <f>'Var-Cov Matrix'!A26</f>
        <v>t</v>
      </c>
      <c r="P24" s="32">
        <f ca="1">'Corr. Matrix'!B61</f>
        <v>6.6980249597340932E-2</v>
      </c>
      <c r="Q24" s="41">
        <f ca="1">(AVERAGE('Corr. Matrix'!C27:AF27)-(1/30))*(30/29)</f>
        <v>0.1925341412532719</v>
      </c>
      <c r="R24" s="25">
        <f ca="1">AVERAGE($P$3:P24)</f>
        <v>9.8346136979339416E-2</v>
      </c>
      <c r="S24" s="32">
        <f ca="1">'Var-Cov Matrix'!F59</f>
        <v>5.3948511395127643E-2</v>
      </c>
    </row>
    <row r="25" spans="1:19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22">
        <v>23</v>
      </c>
      <c r="O25" s="22" t="str">
        <f>'Var-Cov Matrix'!A27</f>
        <v>kr</v>
      </c>
      <c r="P25" s="32">
        <f ca="1">'Corr. Matrix'!B62</f>
        <v>6.6881927031804358E-2</v>
      </c>
      <c r="Q25" s="41">
        <f ca="1">(AVERAGE('Corr. Matrix'!C28:AF28)-(1/30))*(30/29)</f>
        <v>0.22368383068651607</v>
      </c>
      <c r="R25" s="25">
        <f ca="1">AVERAGE($P$3:P25)</f>
        <v>9.6978127851185703E-2</v>
      </c>
      <c r="S25" s="32">
        <f ca="1">'Var-Cov Matrix'!F60</f>
        <v>5.2688111051125815E-2</v>
      </c>
    </row>
    <row r="26" spans="1:19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22">
        <v>24</v>
      </c>
      <c r="O26" s="22" t="str">
        <f>'Var-Cov Matrix'!A28</f>
        <v>pfe</v>
      </c>
      <c r="P26" s="32">
        <f ca="1">'Corr. Matrix'!B63</f>
        <v>6.6295487941508413E-2</v>
      </c>
      <c r="Q26" s="41">
        <f ca="1">(AVERAGE('Corr. Matrix'!C29:AF29)-(1/30))*(30/29)</f>
        <v>0.14630770321404021</v>
      </c>
      <c r="R26" s="25">
        <f ca="1">AVERAGE($P$3:P26)</f>
        <v>9.5699684521615813E-2</v>
      </c>
      <c r="S26" s="32">
        <f ca="1">'Var-Cov Matrix'!F61</f>
        <v>5.1119104663750352E-2</v>
      </c>
    </row>
    <row r="27" spans="1:19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22">
        <v>25</v>
      </c>
      <c r="O27" s="22" t="str">
        <f>'Var-Cov Matrix'!A29</f>
        <v>ma</v>
      </c>
      <c r="P27" s="32">
        <f ca="1">'Corr. Matrix'!B64</f>
        <v>6.3096911879154741E-2</v>
      </c>
      <c r="Q27" s="41">
        <f ca="1">(AVERAGE('Corr. Matrix'!C30:AF30)-(1/30))*(30/29)</f>
        <v>0.34989584132364054</v>
      </c>
      <c r="R27" s="25">
        <f ca="1">AVERAGE($P$3:P27)</f>
        <v>9.4395573615917369E-2</v>
      </c>
      <c r="S27" s="32">
        <f ca="1">'Var-Cov Matrix'!F62</f>
        <v>5.0636441952354193E-2</v>
      </c>
    </row>
    <row r="28" spans="1:19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22">
        <v>26</v>
      </c>
      <c r="O28" s="22" t="str">
        <f>'Var-Cov Matrix'!A30</f>
        <v>msft</v>
      </c>
      <c r="P28" s="32">
        <f ca="1">'Corr. Matrix'!B65</f>
        <v>6.292530231379799E-2</v>
      </c>
      <c r="Q28" s="41">
        <f ca="1">(AVERAGE('Corr. Matrix'!C31:AF31)-(1/30))*(30/29)</f>
        <v>0.28084462328131343</v>
      </c>
      <c r="R28" s="25">
        <f ca="1">AVERAGE($P$3:P28)</f>
        <v>9.3185178565835844E-2</v>
      </c>
      <c r="S28" s="32">
        <f ca="1">'Var-Cov Matrix'!F63</f>
        <v>5.0121882922639499E-2</v>
      </c>
    </row>
    <row r="29" spans="1:19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22">
        <v>27</v>
      </c>
      <c r="O29" s="22" t="str">
        <f>'Var-Cov Matrix'!A31</f>
        <v>yum</v>
      </c>
      <c r="P29" s="32">
        <f ca="1">'Corr. Matrix'!B66</f>
        <v>6.0428038733504719E-2</v>
      </c>
      <c r="Q29" s="41">
        <f ca="1">(AVERAGE('Corr. Matrix'!C32:AF32)-(1/30))*(30/29)</f>
        <v>0.29888424688560533</v>
      </c>
      <c r="R29" s="25">
        <f ca="1">AVERAGE($P$3:P29)</f>
        <v>9.1971951164638396E-2</v>
      </c>
      <c r="S29" s="32">
        <f ca="1">'Var-Cov Matrix'!F64</f>
        <v>4.9327057261263935E-2</v>
      </c>
    </row>
    <row r="30" spans="1:19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22">
        <v>28</v>
      </c>
      <c r="O30" s="22" t="str">
        <f>'Var-Cov Matrix'!A32</f>
        <v>wmt</v>
      </c>
      <c r="P30" s="32">
        <f ca="1">'Corr. Matrix'!B67</f>
        <v>5.7318654500360104E-2</v>
      </c>
      <c r="Q30" s="41">
        <f ca="1">(AVERAGE('Corr. Matrix'!C33:AF33)-(1/30))*(30/29)</f>
        <v>0.24992836722380257</v>
      </c>
      <c r="R30" s="25">
        <f ca="1">AVERAGE($P$3:P30)</f>
        <v>9.0734333426628469E-2</v>
      </c>
      <c r="S30" s="32">
        <f ca="1">'Var-Cov Matrix'!F65</f>
        <v>4.8534651852313225E-2</v>
      </c>
    </row>
    <row r="31" spans="1:19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22">
        <v>29</v>
      </c>
      <c r="O31" s="22" t="str">
        <f>'Var-Cov Matrix'!A33</f>
        <v>ko</v>
      </c>
      <c r="P31" s="32">
        <f ca="1">'Corr. Matrix'!B68</f>
        <v>4.9227895421741157E-2</v>
      </c>
      <c r="Q31" s="41">
        <f ca="1">(AVERAGE('Corr. Matrix'!C34:AF34)-(1/30))*(30/29)</f>
        <v>0.21373157989708685</v>
      </c>
      <c r="R31" s="25">
        <f ca="1">AVERAGE($P$3:P31)</f>
        <v>8.9303076943701321E-2</v>
      </c>
      <c r="S31" s="32">
        <f ca="1">'Var-Cov Matrix'!F66</f>
        <v>4.7387167208412254E-2</v>
      </c>
    </row>
    <row r="32" spans="1:19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22">
        <v>30</v>
      </c>
      <c r="O32" s="22" t="str">
        <f>'Var-Cov Matrix'!A34</f>
        <v>mcd</v>
      </c>
      <c r="P32" s="32">
        <f ca="1">'Corr. Matrix'!B69</f>
        <v>4.6852084961873763E-2</v>
      </c>
      <c r="Q32" s="41">
        <f ca="1">(AVERAGE('Corr. Matrix'!C35:AF35)-(1/30))*(30/29)</f>
        <v>0.30881007520501352</v>
      </c>
      <c r="R32" s="25">
        <f ca="1">AVERAGE($P$3:P32)</f>
        <v>8.7888043877640404E-2</v>
      </c>
      <c r="S32" s="32">
        <f ca="1">'Var-Cov Matrix'!F67</f>
        <v>4.663994558763588E-2</v>
      </c>
    </row>
    <row r="33" spans="1:19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</row>
  </sheetData>
  <mergeCells count="1">
    <mergeCell ref="N2:O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33</vt:i4>
      </vt:variant>
    </vt:vector>
  </HeadingPairs>
  <TitlesOfParts>
    <vt:vector size="39" baseType="lpstr">
      <vt:lpstr>Inputs</vt:lpstr>
      <vt:lpstr>Price Data</vt:lpstr>
      <vt:lpstr>Returns &amp; Stand Dev</vt:lpstr>
      <vt:lpstr>Corr. Matrix</vt:lpstr>
      <vt:lpstr>Var-Cov Matrix</vt:lpstr>
      <vt:lpstr>Graph</vt:lpstr>
      <vt:lpstr>_1</vt:lpstr>
      <vt:lpstr>_10</vt:lpstr>
      <vt:lpstr>_11</vt:lpstr>
      <vt:lpstr>_12</vt:lpstr>
      <vt:lpstr>_13</vt:lpstr>
      <vt:lpstr>_14</vt:lpstr>
      <vt:lpstr>_15</vt:lpstr>
      <vt:lpstr>_16</vt:lpstr>
      <vt:lpstr>_17</vt:lpstr>
      <vt:lpstr>_18</vt:lpstr>
      <vt:lpstr>_19</vt:lpstr>
      <vt:lpstr>_2</vt:lpstr>
      <vt:lpstr>_20</vt:lpstr>
      <vt:lpstr>_21</vt:lpstr>
      <vt:lpstr>_22</vt:lpstr>
      <vt:lpstr>_23</vt:lpstr>
      <vt:lpstr>_24</vt:lpstr>
      <vt:lpstr>_25</vt:lpstr>
      <vt:lpstr>_26</vt:lpstr>
      <vt:lpstr>_27</vt:lpstr>
      <vt:lpstr>_28</vt:lpstr>
      <vt:lpstr>_29</vt:lpstr>
      <vt:lpstr>_3</vt:lpstr>
      <vt:lpstr>_30</vt:lpstr>
      <vt:lpstr>_4</vt:lpstr>
      <vt:lpstr>_5</vt:lpstr>
      <vt:lpstr>_6</vt:lpstr>
      <vt:lpstr>_7</vt:lpstr>
      <vt:lpstr>_8</vt:lpstr>
      <vt:lpstr>_9</vt:lpstr>
      <vt:lpstr>endDate</vt:lpstr>
      <vt:lpstr>'Price Data'!ExternalData_1513</vt:lpstr>
      <vt:lpstr>startDate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Reese, William A</dc:creator>
  <cp:lastModifiedBy>Reese, William A</cp:lastModifiedBy>
  <dcterms:created xsi:type="dcterms:W3CDTF">2024-12-23T23:11:02Z</dcterms:created>
  <dcterms:modified xsi:type="dcterms:W3CDTF">2025-12-24T18:04:34Z</dcterms:modified>
</cp:coreProperties>
</file>