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reese\Documents\Finance 7110 (MBA Investments)\Spreadsheets\"/>
    </mc:Choice>
  </mc:AlternateContent>
  <bookViews>
    <workbookView xWindow="360" yWindow="285" windowWidth="14835" windowHeight="8280"/>
  </bookViews>
  <sheets>
    <sheet name="Returns" sheetId="1" r:id="rId1"/>
    <sheet name="Correlation Matrix" sheetId="4" r:id="rId2"/>
    <sheet name="Covar Matrix" sheetId="2" r:id="rId3"/>
    <sheet name="Efficient Frontier" sheetId="3" r:id="rId4"/>
  </sheets>
  <definedNames>
    <definedName name="AAPL">Returns!$L$4:$L$63</definedName>
    <definedName name="DIS">Returns!$N$4:$N$63</definedName>
    <definedName name="GE">Returns!$O$4:$O$63</definedName>
    <definedName name="MRK">Returns!$P$4:$P$63</definedName>
    <definedName name="PRU">Returns!$M$4:$M$63</definedName>
    <definedName name="PZZA">Returns!$K$4:$K$63</definedName>
    <definedName name="solver_adj" localSheetId="2" hidden="1">'Covar Matrix'!$M$16</definedName>
    <definedName name="solver_cvg" localSheetId="2" hidden="1">0.0001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ng" localSheetId="2" hidden="1">1</definedName>
    <definedName name="solver_est" localSheetId="2" hidden="1">1</definedName>
    <definedName name="solver_est" localSheetId="3" hidden="1">1</definedName>
    <definedName name="solver_itr" localSheetId="2" hidden="1">100</definedName>
    <definedName name="solver_itr" localSheetId="3" hidden="1">100</definedName>
    <definedName name="solver_lhs1" localSheetId="2" hidden="1">'Covar Matrix'!$B$23</definedName>
    <definedName name="solver_lhs2" localSheetId="2" hidden="1">'Covar Matrix'!$B$27</definedName>
    <definedName name="solver_lin" localSheetId="2" hidden="1">2</definedName>
    <definedName name="solver_lin" localSheetId="3" hidden="1">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2</definedName>
    <definedName name="solver_neg" localSheetId="3" hidden="1">2</definedName>
    <definedName name="solver_nod" localSheetId="2" hidden="1">2147483647</definedName>
    <definedName name="solver_num" localSheetId="2" hidden="1">1</definedName>
    <definedName name="solver_num" localSheetId="3" hidden="1">0</definedName>
    <definedName name="solver_nwt" localSheetId="2" hidden="1">1</definedName>
    <definedName name="solver_nwt" localSheetId="3" hidden="1">1</definedName>
    <definedName name="solver_opt" localSheetId="2" hidden="1">'Covar Matrix'!$M$19</definedName>
    <definedName name="solver_opt" localSheetId="3" hidden="1">'Covar Matrix'!$M$14</definedName>
    <definedName name="solver_pre" localSheetId="2" hidden="1">0.000001</definedName>
    <definedName name="solver_pre" localSheetId="3" hidden="1">0.000001</definedName>
    <definedName name="solver_rbv" localSheetId="2" hidden="1">1</definedName>
    <definedName name="solver_rel1" localSheetId="2" hidden="1">2</definedName>
    <definedName name="solver_rel2" localSheetId="2" hidden="1">2</definedName>
    <definedName name="solver_rhs1" localSheetId="2" hidden="1">1</definedName>
    <definedName name="solver_rhs2" localSheetId="2" hidden="1">0.13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ssz" localSheetId="2" hidden="1">100</definedName>
    <definedName name="solver_tim" localSheetId="2" hidden="1">100</definedName>
    <definedName name="solver_tim" localSheetId="3" hidden="1">100</definedName>
    <definedName name="solver_tol" localSheetId="2" hidden="1">0.05</definedName>
    <definedName name="solver_tol" localSheetId="3" hidden="1">0.05</definedName>
    <definedName name="solver_typ" localSheetId="2" hidden="1">1</definedName>
    <definedName name="solver_typ" localSheetId="3" hidden="1">1</definedName>
    <definedName name="solver_val" localSheetId="2" hidden="1">0</definedName>
    <definedName name="solver_val" localSheetId="3" hidden="1">0</definedName>
    <definedName name="solver_ver" localSheetId="2" hidden="1">3</definedName>
    <definedName name="SP">Returns!$S$4:$S$63</definedName>
    <definedName name="UAL">Returns!$R$4:$R$63</definedName>
    <definedName name="XOM">Returns!$Q$4:$Q$63</definedName>
  </definedNames>
  <calcPr calcId="162913"/>
</workbook>
</file>

<file path=xl/calcChain.xml><?xml version="1.0" encoding="utf-8"?>
<calcChain xmlns="http://schemas.openxmlformats.org/spreadsheetml/2006/main">
  <c r="M11" i="2" l="1"/>
  <c r="G14" i="4" l="1"/>
  <c r="H2" i="2" s="1"/>
  <c r="H13" i="2" s="1"/>
  <c r="H2" i="3" s="1"/>
  <c r="H14" i="4"/>
  <c r="I2" i="2" s="1"/>
  <c r="I13" i="2" s="1"/>
  <c r="I2" i="3" s="1"/>
  <c r="A4" i="4"/>
  <c r="A16" i="4" s="1"/>
  <c r="B4" i="2" s="1"/>
  <c r="A16" i="2" s="1"/>
  <c r="C2" i="4"/>
  <c r="C14" i="4" s="1"/>
  <c r="D2" i="2" s="1"/>
  <c r="D13" i="2" s="1"/>
  <c r="D2" i="3" s="1"/>
  <c r="D2" i="4"/>
  <c r="A5" i="4" s="1"/>
  <c r="A17" i="4" s="1"/>
  <c r="B5" i="2" s="1"/>
  <c r="A17" i="2" s="1"/>
  <c r="E2" i="4"/>
  <c r="E14" i="4" s="1"/>
  <c r="F2" i="2" s="1"/>
  <c r="F13" i="2" s="1"/>
  <c r="F2" i="3" s="1"/>
  <c r="F2" i="4"/>
  <c r="F14" i="4" s="1"/>
  <c r="G2" i="2" s="1"/>
  <c r="G13" i="2" s="1"/>
  <c r="G2" i="3" s="1"/>
  <c r="G2" i="4"/>
  <c r="A8" i="4" s="1"/>
  <c r="H2" i="4"/>
  <c r="A9" i="4" s="1"/>
  <c r="I2" i="4"/>
  <c r="I14" i="4" s="1"/>
  <c r="J2" i="2" s="1"/>
  <c r="J13" i="2" s="1"/>
  <c r="J2" i="3" s="1"/>
  <c r="B2" i="4"/>
  <c r="B14" i="4" s="1"/>
  <c r="C2" i="2" s="1"/>
  <c r="C13" i="2" s="1"/>
  <c r="C2" i="3" s="1"/>
  <c r="L2" i="1"/>
  <c r="M2" i="1"/>
  <c r="N2" i="1"/>
  <c r="O2" i="1"/>
  <c r="P2" i="1"/>
  <c r="Q2" i="1"/>
  <c r="R2" i="1"/>
  <c r="S2" i="1"/>
  <c r="K2" i="1"/>
  <c r="K4" i="1"/>
  <c r="L4" i="1"/>
  <c r="M4" i="1"/>
  <c r="N4" i="1"/>
  <c r="O4" i="1"/>
  <c r="P4" i="1"/>
  <c r="Q4" i="1"/>
  <c r="R4" i="1"/>
  <c r="S4" i="1"/>
  <c r="K5" i="1"/>
  <c r="L5" i="1"/>
  <c r="M5" i="1"/>
  <c r="N5" i="1"/>
  <c r="O5" i="1"/>
  <c r="P5" i="1"/>
  <c r="Q5" i="1"/>
  <c r="R5" i="1"/>
  <c r="S5" i="1"/>
  <c r="K6" i="1"/>
  <c r="L6" i="1"/>
  <c r="M6" i="1"/>
  <c r="N6" i="1"/>
  <c r="O6" i="1"/>
  <c r="P6" i="1"/>
  <c r="P65" i="1" s="1"/>
  <c r="P66" i="1" s="1"/>
  <c r="K8" i="4" s="1"/>
  <c r="Q6" i="1"/>
  <c r="R6" i="1"/>
  <c r="S6" i="1"/>
  <c r="K7" i="1"/>
  <c r="L7" i="1"/>
  <c r="M7" i="1"/>
  <c r="N7" i="1"/>
  <c r="O7" i="1"/>
  <c r="P7" i="1"/>
  <c r="Q7" i="1"/>
  <c r="R7" i="1"/>
  <c r="S7" i="1"/>
  <c r="K8" i="1"/>
  <c r="L8" i="1"/>
  <c r="M8" i="1"/>
  <c r="N8" i="1"/>
  <c r="O8" i="1"/>
  <c r="P8" i="1"/>
  <c r="Q8" i="1"/>
  <c r="R8" i="1"/>
  <c r="S8" i="1"/>
  <c r="K9" i="1"/>
  <c r="L9" i="1"/>
  <c r="M9" i="1"/>
  <c r="N9" i="1"/>
  <c r="O9" i="1"/>
  <c r="P9" i="1"/>
  <c r="Q9" i="1"/>
  <c r="R9" i="1"/>
  <c r="S9" i="1"/>
  <c r="K10" i="1"/>
  <c r="L10" i="1"/>
  <c r="M10" i="1"/>
  <c r="N10" i="1"/>
  <c r="O10" i="1"/>
  <c r="P10" i="1"/>
  <c r="Q10" i="1"/>
  <c r="R10" i="1"/>
  <c r="S10" i="1"/>
  <c r="K11" i="1"/>
  <c r="L11" i="1"/>
  <c r="M11" i="1"/>
  <c r="N11" i="1"/>
  <c r="O11" i="1"/>
  <c r="P11" i="1"/>
  <c r="Q11" i="1"/>
  <c r="R11" i="1"/>
  <c r="S11" i="1"/>
  <c r="K12" i="1"/>
  <c r="L12" i="1"/>
  <c r="M12" i="1"/>
  <c r="N12" i="1"/>
  <c r="O12" i="1"/>
  <c r="P12" i="1"/>
  <c r="Q12" i="1"/>
  <c r="R12" i="1"/>
  <c r="S12" i="1"/>
  <c r="K13" i="1"/>
  <c r="L13" i="1"/>
  <c r="M13" i="1"/>
  <c r="N13" i="1"/>
  <c r="O13" i="1"/>
  <c r="P13" i="1"/>
  <c r="Q13" i="1"/>
  <c r="R13" i="1"/>
  <c r="S13" i="1"/>
  <c r="K14" i="1"/>
  <c r="L14" i="1"/>
  <c r="M14" i="1"/>
  <c r="N14" i="1"/>
  <c r="O14" i="1"/>
  <c r="P14" i="1"/>
  <c r="Q14" i="1"/>
  <c r="R14" i="1"/>
  <c r="S14" i="1"/>
  <c r="K15" i="1"/>
  <c r="L15" i="1"/>
  <c r="M15" i="1"/>
  <c r="N15" i="1"/>
  <c r="O15" i="1"/>
  <c r="P15" i="1"/>
  <c r="Q15" i="1"/>
  <c r="R15" i="1"/>
  <c r="S15" i="1"/>
  <c r="K16" i="1"/>
  <c r="L16" i="1"/>
  <c r="M16" i="1"/>
  <c r="N16" i="1"/>
  <c r="O16" i="1"/>
  <c r="P16" i="1"/>
  <c r="Q16" i="1"/>
  <c r="R16" i="1"/>
  <c r="S16" i="1"/>
  <c r="K17" i="1"/>
  <c r="L17" i="1"/>
  <c r="M17" i="1"/>
  <c r="N17" i="1"/>
  <c r="O17" i="1"/>
  <c r="P17" i="1"/>
  <c r="Q17" i="1"/>
  <c r="R17" i="1"/>
  <c r="S17" i="1"/>
  <c r="K18" i="1"/>
  <c r="L18" i="1"/>
  <c r="M18" i="1"/>
  <c r="N18" i="1"/>
  <c r="O18" i="1"/>
  <c r="P18" i="1"/>
  <c r="Q18" i="1"/>
  <c r="R18" i="1"/>
  <c r="S18" i="1"/>
  <c r="K19" i="1"/>
  <c r="L19" i="1"/>
  <c r="M19" i="1"/>
  <c r="N19" i="1"/>
  <c r="O19" i="1"/>
  <c r="P19" i="1"/>
  <c r="Q19" i="1"/>
  <c r="R19" i="1"/>
  <c r="S19" i="1"/>
  <c r="K20" i="1"/>
  <c r="L20" i="1"/>
  <c r="M20" i="1"/>
  <c r="N20" i="1"/>
  <c r="O20" i="1"/>
  <c r="P20" i="1"/>
  <c r="Q20" i="1"/>
  <c r="R20" i="1"/>
  <c r="S20" i="1"/>
  <c r="K21" i="1"/>
  <c r="L21" i="1"/>
  <c r="M21" i="1"/>
  <c r="N21" i="1"/>
  <c r="O21" i="1"/>
  <c r="P21" i="1"/>
  <c r="Q21" i="1"/>
  <c r="R21" i="1"/>
  <c r="S21" i="1"/>
  <c r="K22" i="1"/>
  <c r="L22" i="1"/>
  <c r="M22" i="1"/>
  <c r="N22" i="1"/>
  <c r="O22" i="1"/>
  <c r="P22" i="1"/>
  <c r="Q22" i="1"/>
  <c r="R22" i="1"/>
  <c r="S22" i="1"/>
  <c r="K23" i="1"/>
  <c r="L23" i="1"/>
  <c r="M23" i="1"/>
  <c r="N23" i="1"/>
  <c r="O23" i="1"/>
  <c r="P23" i="1"/>
  <c r="Q23" i="1"/>
  <c r="R23" i="1"/>
  <c r="S23" i="1"/>
  <c r="K24" i="1"/>
  <c r="L24" i="1"/>
  <c r="M24" i="1"/>
  <c r="N24" i="1"/>
  <c r="O24" i="1"/>
  <c r="P24" i="1"/>
  <c r="Q24" i="1"/>
  <c r="R24" i="1"/>
  <c r="S24" i="1"/>
  <c r="K25" i="1"/>
  <c r="L25" i="1"/>
  <c r="M25" i="1"/>
  <c r="N25" i="1"/>
  <c r="O25" i="1"/>
  <c r="P25" i="1"/>
  <c r="Q25" i="1"/>
  <c r="R25" i="1"/>
  <c r="S25" i="1"/>
  <c r="K26" i="1"/>
  <c r="L26" i="1"/>
  <c r="M26" i="1"/>
  <c r="N26" i="1"/>
  <c r="O26" i="1"/>
  <c r="P26" i="1"/>
  <c r="Q26" i="1"/>
  <c r="R26" i="1"/>
  <c r="S26" i="1"/>
  <c r="K27" i="1"/>
  <c r="L27" i="1"/>
  <c r="M27" i="1"/>
  <c r="N27" i="1"/>
  <c r="O27" i="1"/>
  <c r="P27" i="1"/>
  <c r="Q27" i="1"/>
  <c r="R27" i="1"/>
  <c r="S27" i="1"/>
  <c r="K28" i="1"/>
  <c r="L28" i="1"/>
  <c r="M28" i="1"/>
  <c r="N28" i="1"/>
  <c r="O28" i="1"/>
  <c r="P28" i="1"/>
  <c r="Q28" i="1"/>
  <c r="R28" i="1"/>
  <c r="S28" i="1"/>
  <c r="K29" i="1"/>
  <c r="L29" i="1"/>
  <c r="M29" i="1"/>
  <c r="N29" i="1"/>
  <c r="O29" i="1"/>
  <c r="P29" i="1"/>
  <c r="Q29" i="1"/>
  <c r="R29" i="1"/>
  <c r="S29" i="1"/>
  <c r="K30" i="1"/>
  <c r="L30" i="1"/>
  <c r="M30" i="1"/>
  <c r="N30" i="1"/>
  <c r="O30" i="1"/>
  <c r="P30" i="1"/>
  <c r="Q30" i="1"/>
  <c r="R30" i="1"/>
  <c r="S30" i="1"/>
  <c r="K31" i="1"/>
  <c r="L31" i="1"/>
  <c r="M31" i="1"/>
  <c r="N31" i="1"/>
  <c r="O31" i="1"/>
  <c r="P31" i="1"/>
  <c r="Q31" i="1"/>
  <c r="R31" i="1"/>
  <c r="S31" i="1"/>
  <c r="K32" i="1"/>
  <c r="L32" i="1"/>
  <c r="M32" i="1"/>
  <c r="N32" i="1"/>
  <c r="O32" i="1"/>
  <c r="P32" i="1"/>
  <c r="Q32" i="1"/>
  <c r="R32" i="1"/>
  <c r="S32" i="1"/>
  <c r="K33" i="1"/>
  <c r="L33" i="1"/>
  <c r="M33" i="1"/>
  <c r="N33" i="1"/>
  <c r="O33" i="1"/>
  <c r="P33" i="1"/>
  <c r="Q33" i="1"/>
  <c r="R33" i="1"/>
  <c r="S33" i="1"/>
  <c r="K34" i="1"/>
  <c r="L34" i="1"/>
  <c r="M34" i="1"/>
  <c r="N34" i="1"/>
  <c r="O34" i="1"/>
  <c r="P34" i="1"/>
  <c r="Q34" i="1"/>
  <c r="R34" i="1"/>
  <c r="S34" i="1"/>
  <c r="K35" i="1"/>
  <c r="L35" i="1"/>
  <c r="M35" i="1"/>
  <c r="N35" i="1"/>
  <c r="O35" i="1"/>
  <c r="P35" i="1"/>
  <c r="Q35" i="1"/>
  <c r="R35" i="1"/>
  <c r="S35" i="1"/>
  <c r="K36" i="1"/>
  <c r="L36" i="1"/>
  <c r="M36" i="1"/>
  <c r="N36" i="1"/>
  <c r="O36" i="1"/>
  <c r="P36" i="1"/>
  <c r="Q36" i="1"/>
  <c r="R36" i="1"/>
  <c r="S36" i="1"/>
  <c r="K37" i="1"/>
  <c r="L37" i="1"/>
  <c r="M37" i="1"/>
  <c r="N37" i="1"/>
  <c r="O37" i="1"/>
  <c r="P37" i="1"/>
  <c r="Q37" i="1"/>
  <c r="R37" i="1"/>
  <c r="S37" i="1"/>
  <c r="K38" i="1"/>
  <c r="L38" i="1"/>
  <c r="M38" i="1"/>
  <c r="N38" i="1"/>
  <c r="O38" i="1"/>
  <c r="P38" i="1"/>
  <c r="Q38" i="1"/>
  <c r="R38" i="1"/>
  <c r="S38" i="1"/>
  <c r="K39" i="1"/>
  <c r="L39" i="1"/>
  <c r="M39" i="1"/>
  <c r="N39" i="1"/>
  <c r="O39" i="1"/>
  <c r="P39" i="1"/>
  <c r="Q39" i="1"/>
  <c r="R39" i="1"/>
  <c r="S39" i="1"/>
  <c r="K40" i="1"/>
  <c r="L40" i="1"/>
  <c r="M40" i="1"/>
  <c r="N40" i="1"/>
  <c r="O40" i="1"/>
  <c r="P40" i="1"/>
  <c r="Q40" i="1"/>
  <c r="R40" i="1"/>
  <c r="S40" i="1"/>
  <c r="K41" i="1"/>
  <c r="L41" i="1"/>
  <c r="M41" i="1"/>
  <c r="N41" i="1"/>
  <c r="O41" i="1"/>
  <c r="P41" i="1"/>
  <c r="Q41" i="1"/>
  <c r="R41" i="1"/>
  <c r="S41" i="1"/>
  <c r="K42" i="1"/>
  <c r="L42" i="1"/>
  <c r="M42" i="1"/>
  <c r="N42" i="1"/>
  <c r="O42" i="1"/>
  <c r="P42" i="1"/>
  <c r="Q42" i="1"/>
  <c r="R42" i="1"/>
  <c r="S42" i="1"/>
  <c r="K43" i="1"/>
  <c r="L43" i="1"/>
  <c r="M43" i="1"/>
  <c r="N43" i="1"/>
  <c r="O43" i="1"/>
  <c r="P43" i="1"/>
  <c r="Q43" i="1"/>
  <c r="R43" i="1"/>
  <c r="S43" i="1"/>
  <c r="K44" i="1"/>
  <c r="L44" i="1"/>
  <c r="M44" i="1"/>
  <c r="N44" i="1"/>
  <c r="O44" i="1"/>
  <c r="P44" i="1"/>
  <c r="Q44" i="1"/>
  <c r="R44" i="1"/>
  <c r="S44" i="1"/>
  <c r="K45" i="1"/>
  <c r="L45" i="1"/>
  <c r="M45" i="1"/>
  <c r="N45" i="1"/>
  <c r="O45" i="1"/>
  <c r="P45" i="1"/>
  <c r="Q45" i="1"/>
  <c r="R45" i="1"/>
  <c r="S45" i="1"/>
  <c r="K46" i="1"/>
  <c r="L46" i="1"/>
  <c r="M46" i="1"/>
  <c r="N46" i="1"/>
  <c r="O46" i="1"/>
  <c r="P46" i="1"/>
  <c r="Q46" i="1"/>
  <c r="R46" i="1"/>
  <c r="S46" i="1"/>
  <c r="K47" i="1"/>
  <c r="L47" i="1"/>
  <c r="M47" i="1"/>
  <c r="N47" i="1"/>
  <c r="O47" i="1"/>
  <c r="P47" i="1"/>
  <c r="Q47" i="1"/>
  <c r="R47" i="1"/>
  <c r="S47" i="1"/>
  <c r="K48" i="1"/>
  <c r="L48" i="1"/>
  <c r="M48" i="1"/>
  <c r="N48" i="1"/>
  <c r="O48" i="1"/>
  <c r="P48" i="1"/>
  <c r="Q48" i="1"/>
  <c r="R48" i="1"/>
  <c r="S48" i="1"/>
  <c r="K49" i="1"/>
  <c r="L49" i="1"/>
  <c r="M49" i="1"/>
  <c r="N49" i="1"/>
  <c r="O49" i="1"/>
  <c r="P49" i="1"/>
  <c r="Q49" i="1"/>
  <c r="R49" i="1"/>
  <c r="S49" i="1"/>
  <c r="K50" i="1"/>
  <c r="L50" i="1"/>
  <c r="M50" i="1"/>
  <c r="N50" i="1"/>
  <c r="O50" i="1"/>
  <c r="P50" i="1"/>
  <c r="Q50" i="1"/>
  <c r="R50" i="1"/>
  <c r="S50" i="1"/>
  <c r="K51" i="1"/>
  <c r="L51" i="1"/>
  <c r="M51" i="1"/>
  <c r="N51" i="1"/>
  <c r="O51" i="1"/>
  <c r="P51" i="1"/>
  <c r="Q51" i="1"/>
  <c r="R51" i="1"/>
  <c r="S51" i="1"/>
  <c r="K52" i="1"/>
  <c r="L52" i="1"/>
  <c r="M52" i="1"/>
  <c r="N52" i="1"/>
  <c r="O52" i="1"/>
  <c r="P52" i="1"/>
  <c r="Q52" i="1"/>
  <c r="R52" i="1"/>
  <c r="S52" i="1"/>
  <c r="K53" i="1"/>
  <c r="L53" i="1"/>
  <c r="M53" i="1"/>
  <c r="N53" i="1"/>
  <c r="O53" i="1"/>
  <c r="P53" i="1"/>
  <c r="Q53" i="1"/>
  <c r="R53" i="1"/>
  <c r="S53" i="1"/>
  <c r="K54" i="1"/>
  <c r="L54" i="1"/>
  <c r="M54" i="1"/>
  <c r="N54" i="1"/>
  <c r="O54" i="1"/>
  <c r="P54" i="1"/>
  <c r="Q54" i="1"/>
  <c r="R54" i="1"/>
  <c r="S54" i="1"/>
  <c r="K55" i="1"/>
  <c r="L55" i="1"/>
  <c r="M55" i="1"/>
  <c r="N55" i="1"/>
  <c r="O55" i="1"/>
  <c r="P55" i="1"/>
  <c r="Q55" i="1"/>
  <c r="R55" i="1"/>
  <c r="S55" i="1"/>
  <c r="K56" i="1"/>
  <c r="L56" i="1"/>
  <c r="M56" i="1"/>
  <c r="N56" i="1"/>
  <c r="O56" i="1"/>
  <c r="P56" i="1"/>
  <c r="Q56" i="1"/>
  <c r="R56" i="1"/>
  <c r="S56" i="1"/>
  <c r="K57" i="1"/>
  <c r="L57" i="1"/>
  <c r="M57" i="1"/>
  <c r="N57" i="1"/>
  <c r="O57" i="1"/>
  <c r="P57" i="1"/>
  <c r="Q57" i="1"/>
  <c r="R57" i="1"/>
  <c r="S57" i="1"/>
  <c r="K58" i="1"/>
  <c r="L58" i="1"/>
  <c r="M58" i="1"/>
  <c r="N58" i="1"/>
  <c r="O58" i="1"/>
  <c r="P58" i="1"/>
  <c r="Q58" i="1"/>
  <c r="R58" i="1"/>
  <c r="S58" i="1"/>
  <c r="K59" i="1"/>
  <c r="L59" i="1"/>
  <c r="M59" i="1"/>
  <c r="N59" i="1"/>
  <c r="O59" i="1"/>
  <c r="P59" i="1"/>
  <c r="Q59" i="1"/>
  <c r="R59" i="1"/>
  <c r="S59" i="1"/>
  <c r="K60" i="1"/>
  <c r="L60" i="1"/>
  <c r="M60" i="1"/>
  <c r="N60" i="1"/>
  <c r="O60" i="1"/>
  <c r="P60" i="1"/>
  <c r="Q60" i="1"/>
  <c r="R60" i="1"/>
  <c r="S60" i="1"/>
  <c r="K61" i="1"/>
  <c r="L61" i="1"/>
  <c r="M61" i="1"/>
  <c r="N61" i="1"/>
  <c r="O61" i="1"/>
  <c r="P61" i="1"/>
  <c r="Q61" i="1"/>
  <c r="R61" i="1"/>
  <c r="S61" i="1"/>
  <c r="K62" i="1"/>
  <c r="L62" i="1"/>
  <c r="M62" i="1"/>
  <c r="N62" i="1"/>
  <c r="O62" i="1"/>
  <c r="P62" i="1"/>
  <c r="Q62" i="1"/>
  <c r="R62" i="1"/>
  <c r="S62" i="1"/>
  <c r="L63" i="1"/>
  <c r="M63" i="1"/>
  <c r="N63" i="1"/>
  <c r="O63" i="1"/>
  <c r="P63" i="1"/>
  <c r="Q63" i="1"/>
  <c r="R63" i="1"/>
  <c r="S63" i="1"/>
  <c r="K63" i="1"/>
  <c r="N22" i="2"/>
  <c r="B23" i="2"/>
  <c r="J14" i="2"/>
  <c r="I14" i="2"/>
  <c r="H14" i="2"/>
  <c r="G14" i="2"/>
  <c r="F14" i="2"/>
  <c r="E14" i="2"/>
  <c r="D14" i="2"/>
  <c r="C14" i="2"/>
  <c r="K67" i="1"/>
  <c r="I10" i="4" l="1"/>
  <c r="Q65" i="1"/>
  <c r="Q66" i="1" s="1"/>
  <c r="K9" i="4" s="1"/>
  <c r="H9" i="4"/>
  <c r="H10" i="4"/>
  <c r="I9" i="4" s="1"/>
  <c r="G8" i="4"/>
  <c r="G9" i="4"/>
  <c r="H8" i="4" s="1"/>
  <c r="G10" i="4"/>
  <c r="I8" i="4" s="1"/>
  <c r="F10" i="4"/>
  <c r="I7" i="4" s="1"/>
  <c r="F7" i="4"/>
  <c r="F9" i="4"/>
  <c r="H7" i="4" s="1"/>
  <c r="F8" i="4"/>
  <c r="G7" i="4" s="1"/>
  <c r="E10" i="4"/>
  <c r="I6" i="4" s="1"/>
  <c r="E6" i="4"/>
  <c r="E9" i="4"/>
  <c r="H6" i="4" s="1"/>
  <c r="E7" i="4"/>
  <c r="F6" i="4" s="1"/>
  <c r="E8" i="4"/>
  <c r="G6" i="4" s="1"/>
  <c r="M65" i="1"/>
  <c r="M66" i="1" s="1"/>
  <c r="K5" i="4" s="1"/>
  <c r="D8" i="4"/>
  <c r="G5" i="4" s="1"/>
  <c r="D6" i="4"/>
  <c r="E5" i="4" s="1"/>
  <c r="D9" i="4"/>
  <c r="H5" i="4" s="1"/>
  <c r="H17" i="4" s="1"/>
  <c r="I5" i="2" s="1"/>
  <c r="I17" i="2" s="1"/>
  <c r="D7" i="4"/>
  <c r="F5" i="4" s="1"/>
  <c r="D10" i="4"/>
  <c r="I5" i="4" s="1"/>
  <c r="D5" i="4"/>
  <c r="D17" i="4" s="1"/>
  <c r="E5" i="2" s="1"/>
  <c r="E17" i="2" s="1"/>
  <c r="C8" i="4"/>
  <c r="G4" i="4" s="1"/>
  <c r="G16" i="4" s="1"/>
  <c r="H4" i="2" s="1"/>
  <c r="H16" i="2" s="1"/>
  <c r="C4" i="4"/>
  <c r="C7" i="4"/>
  <c r="F4" i="4" s="1"/>
  <c r="C9" i="4"/>
  <c r="H4" i="4" s="1"/>
  <c r="H16" i="4" s="1"/>
  <c r="I4" i="2" s="1"/>
  <c r="I16" i="2" s="1"/>
  <c r="C10" i="4"/>
  <c r="I4" i="4" s="1"/>
  <c r="C6" i="4"/>
  <c r="E4" i="4" s="1"/>
  <c r="C5" i="4"/>
  <c r="D4" i="4" s="1"/>
  <c r="S67" i="1"/>
  <c r="N67" i="1"/>
  <c r="K65" i="1"/>
  <c r="K66" i="1" s="1"/>
  <c r="K3" i="4" s="1"/>
  <c r="B9" i="4"/>
  <c r="H3" i="4" s="1"/>
  <c r="B5" i="4"/>
  <c r="D3" i="4" s="1"/>
  <c r="B8" i="4"/>
  <c r="G3" i="4" s="1"/>
  <c r="B4" i="4"/>
  <c r="C3" i="4" s="1"/>
  <c r="B6" i="4"/>
  <c r="E3" i="4" s="1"/>
  <c r="B7" i="4"/>
  <c r="F3" i="4" s="1"/>
  <c r="B3" i="4"/>
  <c r="B10" i="4"/>
  <c r="I3" i="4" s="1"/>
  <c r="A20" i="4"/>
  <c r="B8" i="2" s="1"/>
  <c r="A20" i="2" s="1"/>
  <c r="A21" i="4"/>
  <c r="B9" i="2" s="1"/>
  <c r="A21" i="2" s="1"/>
  <c r="L65" i="1"/>
  <c r="L66" i="1" s="1"/>
  <c r="K4" i="4" s="1"/>
  <c r="A6" i="4"/>
  <c r="O65" i="1"/>
  <c r="O66" i="1" s="1"/>
  <c r="K7" i="4" s="1"/>
  <c r="F17" i="4" s="1"/>
  <c r="G5" i="2" s="1"/>
  <c r="G17" i="2" s="1"/>
  <c r="A3" i="4"/>
  <c r="R67" i="1"/>
  <c r="R65" i="1"/>
  <c r="R66" i="1" s="1"/>
  <c r="K10" i="4" s="1"/>
  <c r="Q67" i="1"/>
  <c r="A7" i="4"/>
  <c r="N65" i="1"/>
  <c r="N66" i="1" s="1"/>
  <c r="K6" i="4" s="1"/>
  <c r="D14" i="4"/>
  <c r="E2" i="2" s="1"/>
  <c r="E13" i="2" s="1"/>
  <c r="E2" i="3" s="1"/>
  <c r="A10" i="4"/>
  <c r="P67" i="1"/>
  <c r="S65" i="1"/>
  <c r="S66" i="1" s="1"/>
  <c r="L67" i="1"/>
  <c r="M67" i="1"/>
  <c r="O67" i="1"/>
  <c r="B16" i="4"/>
  <c r="C4" i="2" s="1"/>
  <c r="C16" i="2" s="1"/>
  <c r="C17" i="4"/>
  <c r="D5" i="2" s="1"/>
  <c r="D17" i="2" s="1"/>
  <c r="G17" i="4"/>
  <c r="H5" i="2" s="1"/>
  <c r="H17" i="2" s="1"/>
  <c r="F16" i="4" l="1"/>
  <c r="G4" i="2" s="1"/>
  <c r="G16" i="2" s="1"/>
  <c r="C16" i="4"/>
  <c r="D4" i="2" s="1"/>
  <c r="D16" i="2" s="1"/>
  <c r="D21" i="4"/>
  <c r="E9" i="2" s="1"/>
  <c r="E21" i="2" s="1"/>
  <c r="H21" i="4"/>
  <c r="I9" i="2" s="1"/>
  <c r="I21" i="2" s="1"/>
  <c r="B20" i="4"/>
  <c r="C8" i="2" s="1"/>
  <c r="C20" i="2" s="1"/>
  <c r="B21" i="4"/>
  <c r="C9" i="2" s="1"/>
  <c r="C21" i="2" s="1"/>
  <c r="C21" i="4"/>
  <c r="D9" i="2" s="1"/>
  <c r="D21" i="2" s="1"/>
  <c r="E20" i="4"/>
  <c r="F8" i="2" s="1"/>
  <c r="F20" i="2" s="1"/>
  <c r="I17" i="4"/>
  <c r="J5" i="2" s="1"/>
  <c r="J17" i="2" s="1"/>
  <c r="E16" i="4"/>
  <c r="F4" i="2" s="1"/>
  <c r="F16" i="2" s="1"/>
  <c r="G21" i="4"/>
  <c r="H9" i="2" s="1"/>
  <c r="H21" i="2" s="1"/>
  <c r="H20" i="4"/>
  <c r="I8" i="2" s="1"/>
  <c r="I20" i="2" s="1"/>
  <c r="G20" i="4"/>
  <c r="H8" i="2" s="1"/>
  <c r="H20" i="2" s="1"/>
  <c r="B17" i="4"/>
  <c r="C5" i="2" s="1"/>
  <c r="C17" i="2" s="1"/>
  <c r="C20" i="4"/>
  <c r="D8" i="2" s="1"/>
  <c r="D20" i="2" s="1"/>
  <c r="F20" i="4"/>
  <c r="G8" i="2" s="1"/>
  <c r="G20" i="2" s="1"/>
  <c r="E18" i="4"/>
  <c r="F6" i="2" s="1"/>
  <c r="F18" i="2" s="1"/>
  <c r="F21" i="4"/>
  <c r="G9" i="2" s="1"/>
  <c r="G21" i="2" s="1"/>
  <c r="I20" i="4"/>
  <c r="J8" i="2" s="1"/>
  <c r="J20" i="2" s="1"/>
  <c r="D16" i="4"/>
  <c r="E4" i="2" s="1"/>
  <c r="E16" i="2" s="1"/>
  <c r="E21" i="4"/>
  <c r="F9" i="2" s="1"/>
  <c r="F21" i="2" s="1"/>
  <c r="D20" i="4"/>
  <c r="E8" i="2" s="1"/>
  <c r="E20" i="2" s="1"/>
  <c r="A18" i="4"/>
  <c r="B6" i="2" s="1"/>
  <c r="A18" i="2" s="1"/>
  <c r="Q68" i="1"/>
  <c r="Q69" i="1" s="1"/>
  <c r="L9" i="4" s="1"/>
  <c r="F18" i="4"/>
  <c r="G6" i="2" s="1"/>
  <c r="G18" i="2" s="1"/>
  <c r="H15" i="4"/>
  <c r="I3" i="2" s="1"/>
  <c r="I15" i="2" s="1"/>
  <c r="F15" i="4"/>
  <c r="G3" i="2" s="1"/>
  <c r="G15" i="2" s="1"/>
  <c r="I15" i="4"/>
  <c r="J3" i="2" s="1"/>
  <c r="J15" i="2" s="1"/>
  <c r="A15" i="4"/>
  <c r="B3" i="2" s="1"/>
  <c r="A15" i="2" s="1"/>
  <c r="I21" i="4"/>
  <c r="J9" i="2" s="1"/>
  <c r="J21" i="2" s="1"/>
  <c r="I16" i="4"/>
  <c r="J4" i="2" s="1"/>
  <c r="J16" i="2" s="1"/>
  <c r="F19" i="4"/>
  <c r="G7" i="2" s="1"/>
  <c r="G19" i="2" s="1"/>
  <c r="H19" i="4"/>
  <c r="I7" i="2" s="1"/>
  <c r="I19" i="2" s="1"/>
  <c r="C19" i="4"/>
  <c r="D7" i="2" s="1"/>
  <c r="D19" i="2" s="1"/>
  <c r="A19" i="4"/>
  <c r="B7" i="2" s="1"/>
  <c r="A19" i="2" s="1"/>
  <c r="E17" i="4"/>
  <c r="F5" i="2" s="1"/>
  <c r="F17" i="2" s="1"/>
  <c r="B18" i="4"/>
  <c r="C6" i="2" s="1"/>
  <c r="C18" i="2" s="1"/>
  <c r="I22" i="4"/>
  <c r="J10" i="2" s="1"/>
  <c r="J22" i="2" s="1"/>
  <c r="H22" i="4"/>
  <c r="I10" i="2" s="1"/>
  <c r="I22" i="2" s="1"/>
  <c r="G22" i="4"/>
  <c r="H10" i="2" s="1"/>
  <c r="H22" i="2" s="1"/>
  <c r="B22" i="4"/>
  <c r="C10" i="2" s="1"/>
  <c r="C22" i="2" s="1"/>
  <c r="E22" i="4"/>
  <c r="F10" i="2" s="1"/>
  <c r="F22" i="2" s="1"/>
  <c r="A22" i="4"/>
  <c r="B10" i="2" s="1"/>
  <c r="A22" i="2" s="1"/>
  <c r="M68" i="1"/>
  <c r="M69" i="1" s="1"/>
  <c r="L5" i="4" s="1"/>
  <c r="S68" i="1"/>
  <c r="S69" i="1" s="1"/>
  <c r="R68" i="1"/>
  <c r="R69" i="1" s="1"/>
  <c r="L10" i="4" s="1"/>
  <c r="N68" i="1"/>
  <c r="N69" i="1" s="1"/>
  <c r="L6" i="4" s="1"/>
  <c r="O68" i="1"/>
  <c r="O69" i="1" s="1"/>
  <c r="L7" i="4" s="1"/>
  <c r="L68" i="1"/>
  <c r="L69" i="1" s="1"/>
  <c r="L4" i="4" s="1"/>
  <c r="P68" i="1"/>
  <c r="P69" i="1" s="1"/>
  <c r="L8" i="4" s="1"/>
  <c r="K68" i="1"/>
  <c r="K69" i="1" s="1"/>
  <c r="L3" i="4" s="1"/>
  <c r="B19" i="4" l="1"/>
  <c r="C7" i="2" s="1"/>
  <c r="C19" i="2" s="1"/>
  <c r="C18" i="4"/>
  <c r="D6" i="2" s="1"/>
  <c r="D18" i="2" s="1"/>
  <c r="G15" i="4"/>
  <c r="H3" i="2" s="1"/>
  <c r="H15" i="2" s="1"/>
  <c r="E15" i="4"/>
  <c r="F3" i="2" s="1"/>
  <c r="F15" i="2" s="1"/>
  <c r="G19" i="4"/>
  <c r="H7" i="2" s="1"/>
  <c r="H19" i="2" s="1"/>
  <c r="D15" i="4"/>
  <c r="E3" i="2" s="1"/>
  <c r="E15" i="2" s="1"/>
  <c r="D22" i="4"/>
  <c r="E10" i="2" s="1"/>
  <c r="E22" i="2" s="1"/>
  <c r="H18" i="4"/>
  <c r="I6" i="2" s="1"/>
  <c r="I18" i="2" s="1"/>
  <c r="I19" i="4"/>
  <c r="J7" i="2" s="1"/>
  <c r="J19" i="2" s="1"/>
  <c r="C22" i="4"/>
  <c r="D10" i="2" s="1"/>
  <c r="D22" i="2" s="1"/>
  <c r="G18" i="4"/>
  <c r="H6" i="2" s="1"/>
  <c r="H18" i="2" s="1"/>
  <c r="F22" i="4"/>
  <c r="G10" i="2" s="1"/>
  <c r="G22" i="2" s="1"/>
  <c r="E19" i="4"/>
  <c r="F7" i="2" s="1"/>
  <c r="F19" i="2" s="1"/>
  <c r="B15" i="4"/>
  <c r="C3" i="2" s="1"/>
  <c r="C15" i="2" s="1"/>
  <c r="I18" i="4"/>
  <c r="J6" i="2" s="1"/>
  <c r="J18" i="2" s="1"/>
  <c r="D18" i="4"/>
  <c r="E6" i="2" s="1"/>
  <c r="E18" i="2" s="1"/>
  <c r="D19" i="4"/>
  <c r="E7" i="2" s="1"/>
  <c r="E19" i="2" s="1"/>
  <c r="C15" i="4"/>
  <c r="D3" i="2" s="1"/>
  <c r="D15" i="2" s="1"/>
  <c r="B27" i="2"/>
  <c r="M12" i="2" s="1"/>
  <c r="M17" i="2" s="1"/>
  <c r="B25" i="2" l="1"/>
  <c r="B26" i="2" s="1"/>
  <c r="M23" i="2" s="1"/>
  <c r="M24" i="2" s="1"/>
  <c r="N23" i="2"/>
  <c r="N24" i="2" s="1"/>
  <c r="M13" i="2" l="1"/>
  <c r="M14" i="2" s="1"/>
  <c r="M18" i="2" l="1"/>
  <c r="M19" i="2" s="1"/>
</calcChain>
</file>

<file path=xl/sharedStrings.xml><?xml version="1.0" encoding="utf-8"?>
<sst xmlns="http://schemas.openxmlformats.org/spreadsheetml/2006/main" count="50" uniqueCount="48">
  <si>
    <t>AAPL</t>
  </si>
  <si>
    <t>DIS</t>
  </si>
  <si>
    <t>MRK</t>
  </si>
  <si>
    <t>XOM</t>
  </si>
  <si>
    <t>PRICES</t>
  </si>
  <si>
    <t>RETURNS</t>
  </si>
  <si>
    <t>Date</t>
  </si>
  <si>
    <t>S&amp;P</t>
  </si>
  <si>
    <t>Monthly Standard Deviation</t>
  </si>
  <si>
    <t>Annualized Standard Deviation</t>
  </si>
  <si>
    <t>Correlation with S&amp;P</t>
  </si>
  <si>
    <t>Beta</t>
  </si>
  <si>
    <t>Expected Return</t>
  </si>
  <si>
    <t>Rf</t>
  </si>
  <si>
    <t>Rm-Rf</t>
  </si>
  <si>
    <t>Stand Dev</t>
  </si>
  <si>
    <t>Var/Cov Matrix</t>
  </si>
  <si>
    <t>Correlation Matrix</t>
  </si>
  <si>
    <t>weights</t>
  </si>
  <si>
    <t>Weighted Var/Cov Matrix</t>
  </si>
  <si>
    <t>Port. Var</t>
  </si>
  <si>
    <t>Port. S.D.</t>
  </si>
  <si>
    <t>Port. E(R.)</t>
  </si>
  <si>
    <t>Sum</t>
  </si>
  <si>
    <t>Expect. Ret.</t>
  </si>
  <si>
    <t>Stand. Dev.</t>
  </si>
  <si>
    <t>Utility</t>
  </si>
  <si>
    <t>100% Rf</t>
  </si>
  <si>
    <t>A</t>
  </si>
  <si>
    <t>S.D.</t>
  </si>
  <si>
    <t>Exp. Ret.</t>
  </si>
  <si>
    <t>Efficient Frontier</t>
  </si>
  <si>
    <t>Wt in MVE</t>
  </si>
  <si>
    <t>Exp Ret Optimal</t>
  </si>
  <si>
    <t>SD Optimal</t>
  </si>
  <si>
    <t>100% MVE</t>
  </si>
  <si>
    <t>MVE E(R.)</t>
  </si>
  <si>
    <t>MVE S.D.</t>
  </si>
  <si>
    <t>MVE Sharpe</t>
  </si>
  <si>
    <t>250% MVE</t>
  </si>
  <si>
    <t>MVE Capital Allocation Line</t>
  </si>
  <si>
    <t>Finding MVE and Maximizing Utility</t>
  </si>
  <si>
    <t>Expect Ret</t>
  </si>
  <si>
    <t>PRU</t>
  </si>
  <si>
    <t>GE</t>
  </si>
  <si>
    <t>PZZA</t>
  </si>
  <si>
    <t>UAL</t>
  </si>
  <si>
    <t>MVP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</si>
</sst>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0.000000"/>
    <numFmt numFmtId="168" formatCode="[$-409]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rgb="FFE0E4E9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0" fontId="1" fillId="0" borderId="0" xfId="1" applyNumberFormat="1" applyFont="1"/>
    <xf numFmtId="9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164" fontId="0" fillId="0" borderId="0" xfId="0" applyNumberFormat="1"/>
    <xf numFmtId="0" fontId="0" fillId="0" borderId="0" xfId="0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1" xfId="0" applyBorder="1"/>
    <xf numFmtId="165" fontId="0" fillId="0" borderId="0" xfId="0" applyNumberFormat="1"/>
    <xf numFmtId="0" fontId="0" fillId="0" borderId="0" xfId="0" applyFill="1" applyBorder="1"/>
    <xf numFmtId="0" fontId="0" fillId="0" borderId="2" xfId="0" applyBorder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10" fontId="1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Font="1"/>
    <xf numFmtId="10" fontId="1" fillId="2" borderId="0" xfId="1" applyNumberFormat="1" applyFont="1" applyFill="1"/>
    <xf numFmtId="10" fontId="1" fillId="3" borderId="0" xfId="1" applyNumberFormat="1" applyFont="1" applyFill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0" fontId="1" fillId="0" borderId="0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0" fillId="0" borderId="0" xfId="0" applyNumberFormat="1"/>
    <xf numFmtId="10" fontId="0" fillId="0" borderId="0" xfId="0" applyNumberFormat="1" applyFont="1"/>
    <xf numFmtId="4" fontId="5" fillId="4" borderId="5" xfId="0" applyNumberFormat="1" applyFont="1" applyFill="1" applyBorder="1" applyAlignment="1">
      <alignment horizontal="right" vertical="center"/>
    </xf>
    <xf numFmtId="10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Portfolio Efficient Frontier </a:t>
            </a:r>
          </a:p>
        </c:rich>
      </c:tx>
      <c:layout>
        <c:manualLayout>
          <c:xMode val="edge"/>
          <c:yMode val="edge"/>
          <c:x val="0.32369942196531792"/>
          <c:y val="2.982109994871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3371868978806"/>
          <c:y val="0.15705775283836648"/>
          <c:w val="0.7890173410404614"/>
          <c:h val="0.48906560636182944"/>
        </c:manualLayout>
      </c:layout>
      <c:scatterChart>
        <c:scatterStyle val="smoothMarker"/>
        <c:varyColors val="0"/>
        <c:ser>
          <c:idx val="0"/>
          <c:order val="0"/>
          <c:tx>
            <c:v>Efficient Frontier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'Efficient Frontier'!$B$3:$B$14</c:f>
              <c:numCache>
                <c:formatCode>0.00%</c:formatCode>
                <c:ptCount val="12"/>
                <c:pt idx="0">
                  <c:v>0.29541471936662589</c:v>
                </c:pt>
                <c:pt idx="1">
                  <c:v>0.25821951263674348</c:v>
                </c:pt>
                <c:pt idx="2">
                  <c:v>0.22438200306884154</c:v>
                </c:pt>
                <c:pt idx="3">
                  <c:v>0.19563543889661969</c:v>
                </c:pt>
                <c:pt idx="4">
                  <c:v>0.17452790235198073</c:v>
                </c:pt>
                <c:pt idx="5">
                  <c:v>0.16402602748285772</c:v>
                </c:pt>
                <c:pt idx="6">
                  <c:v>0.16615631217694796</c:v>
                </c:pt>
                <c:pt idx="7">
                  <c:v>0.18047193110896345</c:v>
                </c:pt>
                <c:pt idx="8">
                  <c:v>0.20442879254068536</c:v>
                </c:pt>
                <c:pt idx="9">
                  <c:v>0.23509776685414416</c:v>
                </c:pt>
                <c:pt idx="10">
                  <c:v>0.2702028945452371</c:v>
                </c:pt>
                <c:pt idx="11">
                  <c:v>0.3082321592018355</c:v>
                </c:pt>
              </c:numCache>
            </c:numRef>
          </c:xVal>
          <c:yVal>
            <c:numRef>
              <c:f>'Efficient Frontier'!$A$3:$A$14</c:f>
              <c:numCache>
                <c:formatCode>0%</c:formatCode>
                <c:ptCount val="12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  <c:pt idx="11">
                  <c:v>0.13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3B-4B59-A016-2BB0E3474B47}"/>
            </c:ext>
          </c:extLst>
        </c:ser>
        <c:ser>
          <c:idx val="1"/>
          <c:order val="1"/>
          <c:tx>
            <c:strRef>
              <c:f>Returns!$K$2</c:f>
              <c:strCache>
                <c:ptCount val="1"/>
                <c:pt idx="0">
                  <c:v>PZZA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Returns!$K$66</c:f>
              <c:numCache>
                <c:formatCode>0.00%</c:formatCode>
                <c:ptCount val="1"/>
                <c:pt idx="0">
                  <c:v>0.35312910631888866</c:v>
                </c:pt>
              </c:numCache>
            </c:numRef>
          </c:xVal>
          <c:yVal>
            <c:numRef>
              <c:f>Returns!$K$69</c:f>
              <c:numCache>
                <c:formatCode>0.00%</c:formatCode>
                <c:ptCount val="1"/>
                <c:pt idx="0">
                  <c:v>8.1560873908382556E-2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3B-4B59-A016-2BB0E3474B47}"/>
            </c:ext>
          </c:extLst>
        </c:ser>
        <c:ser>
          <c:idx val="2"/>
          <c:order val="2"/>
          <c:tx>
            <c:strRef>
              <c:f>Returns!$L$2</c:f>
              <c:strCache>
                <c:ptCount val="1"/>
                <c:pt idx="0">
                  <c:v>AAPL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Returns!$L$66</c:f>
              <c:numCache>
                <c:formatCode>0.00%</c:formatCode>
                <c:ptCount val="1"/>
                <c:pt idx="0">
                  <c:v>0.28910040235229695</c:v>
                </c:pt>
              </c:numCache>
            </c:numRef>
          </c:xVal>
          <c:yVal>
            <c:numRef>
              <c:f>Returns!$L$69</c:f>
              <c:numCache>
                <c:formatCode>0.00%</c:formatCode>
                <c:ptCount val="1"/>
                <c:pt idx="0">
                  <c:v>9.7134224200839198E-2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3B-4B59-A016-2BB0E3474B47}"/>
            </c:ext>
          </c:extLst>
        </c:ser>
        <c:ser>
          <c:idx val="3"/>
          <c:order val="3"/>
          <c:tx>
            <c:strRef>
              <c:f>Returns!$M$2</c:f>
              <c:strCache>
                <c:ptCount val="1"/>
                <c:pt idx="0">
                  <c:v>PRU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Returns!$M$66</c:f>
              <c:numCache>
                <c:formatCode>0.00%</c:formatCode>
                <c:ptCount val="1"/>
                <c:pt idx="0">
                  <c:v>0.31761354445627621</c:v>
                </c:pt>
              </c:numCache>
            </c:numRef>
          </c:xVal>
          <c:yVal>
            <c:numRef>
              <c:f>Returns!$M$69</c:f>
              <c:numCache>
                <c:formatCode>0.00%</c:formatCode>
                <c:ptCount val="1"/>
                <c:pt idx="0">
                  <c:v>0.12528285559176669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23B-4B59-A016-2BB0E3474B47}"/>
            </c:ext>
          </c:extLst>
        </c:ser>
        <c:ser>
          <c:idx val="4"/>
          <c:order val="4"/>
          <c:tx>
            <c:strRef>
              <c:f>Returns!$N$2</c:f>
              <c:strCache>
                <c:ptCount val="1"/>
                <c:pt idx="0">
                  <c:v>DIS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Returns!$N$66</c:f>
              <c:numCache>
                <c:formatCode>0.00%</c:formatCode>
                <c:ptCount val="1"/>
                <c:pt idx="0">
                  <c:v>0.27216591494827891</c:v>
                </c:pt>
              </c:numCache>
            </c:numRef>
          </c:xVal>
          <c:yVal>
            <c:numRef>
              <c:f>Returns!$N$69</c:f>
              <c:numCache>
                <c:formatCode>0.00%</c:formatCode>
                <c:ptCount val="1"/>
                <c:pt idx="0">
                  <c:v>9.776550732861751E-2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23B-4B59-A016-2BB0E3474B47}"/>
            </c:ext>
          </c:extLst>
        </c:ser>
        <c:ser>
          <c:idx val="5"/>
          <c:order val="5"/>
          <c:tx>
            <c:strRef>
              <c:f>Returns!$O$2</c:f>
              <c:strCache>
                <c:ptCount val="1"/>
                <c:pt idx="0">
                  <c:v>GE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Returns!$O$66</c:f>
              <c:numCache>
                <c:formatCode>0.00%</c:formatCode>
                <c:ptCount val="1"/>
                <c:pt idx="0">
                  <c:v>0.38829138269079283</c:v>
                </c:pt>
              </c:numCache>
            </c:numRef>
          </c:xVal>
          <c:yVal>
            <c:numRef>
              <c:f>Returns!$O$69</c:f>
              <c:numCache>
                <c:formatCode>0.00%</c:formatCode>
                <c:ptCount val="1"/>
                <c:pt idx="0">
                  <c:v>8.8701392866419065E-2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23B-4B59-A016-2BB0E3474B47}"/>
            </c:ext>
          </c:extLst>
        </c:ser>
        <c:ser>
          <c:idx val="6"/>
          <c:order val="6"/>
          <c:tx>
            <c:strRef>
              <c:f>Returns!$P$2</c:f>
              <c:strCache>
                <c:ptCount val="1"/>
                <c:pt idx="0">
                  <c:v>MRK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Returns!$P$66</c:f>
              <c:numCache>
                <c:formatCode>0.00%</c:formatCode>
                <c:ptCount val="1"/>
                <c:pt idx="0">
                  <c:v>0.19982217827251039</c:v>
                </c:pt>
              </c:numCache>
            </c:numRef>
          </c:xVal>
          <c:yVal>
            <c:numRef>
              <c:f>Returns!$P$69</c:f>
              <c:numCache>
                <c:formatCode>0.00%</c:formatCode>
                <c:ptCount val="1"/>
                <c:pt idx="0">
                  <c:v>5.9040557854713599E-2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23B-4B59-A016-2BB0E3474B47}"/>
            </c:ext>
          </c:extLst>
        </c:ser>
        <c:ser>
          <c:idx val="7"/>
          <c:order val="7"/>
          <c:tx>
            <c:strRef>
              <c:f>Returns!$Q$2</c:f>
              <c:strCache>
                <c:ptCount val="1"/>
                <c:pt idx="0">
                  <c:v>XOM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Returns!$Q$66</c:f>
              <c:numCache>
                <c:formatCode>0.00%</c:formatCode>
                <c:ptCount val="1"/>
                <c:pt idx="0">
                  <c:v>0.3016130995470907</c:v>
                </c:pt>
              </c:numCache>
            </c:numRef>
          </c:xVal>
          <c:yVal>
            <c:numRef>
              <c:f>Returns!$Q$69</c:f>
              <c:numCache>
                <c:formatCode>0.00%</c:formatCode>
                <c:ptCount val="1"/>
                <c:pt idx="0">
                  <c:v>0.10801997819038896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23B-4B59-A016-2BB0E3474B47}"/>
            </c:ext>
          </c:extLst>
        </c:ser>
        <c:ser>
          <c:idx val="8"/>
          <c:order val="8"/>
          <c:tx>
            <c:strRef>
              <c:f>Returns!$R$2</c:f>
              <c:strCache>
                <c:ptCount val="1"/>
                <c:pt idx="0">
                  <c:v>UAL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Returns!$R$66</c:f>
              <c:numCache>
                <c:formatCode>0.00%</c:formatCode>
                <c:ptCount val="1"/>
                <c:pt idx="0">
                  <c:v>0.4511240404173753</c:v>
                </c:pt>
              </c:numCache>
            </c:numRef>
          </c:xVal>
          <c:yVal>
            <c:numRef>
              <c:f>Returns!$R$69</c:f>
              <c:numCache>
                <c:formatCode>0.00%</c:formatCode>
                <c:ptCount val="1"/>
                <c:pt idx="0">
                  <c:v>0.12653360016060811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23B-4B59-A016-2BB0E3474B47}"/>
            </c:ext>
          </c:extLst>
        </c:ser>
        <c:ser>
          <c:idx val="12"/>
          <c:order val="9"/>
          <c:tx>
            <c:v>Sharpe Max</c:v>
          </c:tx>
          <c:xVal>
            <c:numRef>
              <c:f>'Covar Matrix'!$B$26</c:f>
              <c:numCache>
                <c:formatCode>0.00%</c:formatCode>
                <c:ptCount val="1"/>
                <c:pt idx="0">
                  <c:v>0.21080756421190952</c:v>
                </c:pt>
              </c:numCache>
            </c:numRef>
          </c:xVal>
          <c:yVal>
            <c:numRef>
              <c:f>'Covar Matrix'!$B$27</c:f>
              <c:numCache>
                <c:formatCode>0.00%</c:formatCode>
                <c:ptCount val="1"/>
                <c:pt idx="0">
                  <c:v>0.1022394772995691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23B-4B59-A016-2BB0E3474B47}"/>
            </c:ext>
          </c:extLst>
        </c:ser>
        <c:ser>
          <c:idx val="9"/>
          <c:order val="10"/>
          <c:tx>
            <c:strRef>
              <c:f>Returns!$S$2</c:f>
              <c:strCache>
                <c:ptCount val="1"/>
                <c:pt idx="0">
                  <c:v>S&amp;P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Returns!$S$66</c:f>
              <c:numCache>
                <c:formatCode>0.00%</c:formatCode>
                <c:ptCount val="1"/>
                <c:pt idx="0">
                  <c:v>0.1543960627628421</c:v>
                </c:pt>
              </c:numCache>
            </c:numRef>
          </c:xVal>
          <c:yVal>
            <c:numRef>
              <c:f>Returns!$S$69</c:f>
              <c:numCache>
                <c:formatCode>0.00%</c:formatCode>
                <c:ptCount val="1"/>
                <c:pt idx="0">
                  <c:v>8.6999999999999994E-2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523B-4B59-A016-2BB0E3474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475392"/>
        <c:axId val="246568064"/>
      </c:scatterChart>
      <c:valAx>
        <c:axId val="24647539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Standard Deviation</a:t>
                </a:r>
              </a:p>
            </c:rich>
          </c:tx>
          <c:layout>
            <c:manualLayout>
              <c:xMode val="edge"/>
              <c:yMode val="edge"/>
              <c:x val="0.42341040462427748"/>
              <c:y val="0.70974145473195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568064"/>
        <c:crosses val="autoZero"/>
        <c:crossBetween val="midCat"/>
      </c:valAx>
      <c:valAx>
        <c:axId val="246568064"/>
        <c:scaling>
          <c:orientation val="minMax"/>
          <c:max val="0.1400000000000000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Expected Return </a:t>
                </a:r>
              </a:p>
            </c:rich>
          </c:tx>
          <c:layout>
            <c:manualLayout>
              <c:xMode val="edge"/>
              <c:yMode val="edge"/>
              <c:x val="2.1676300578034682E-2"/>
              <c:y val="0.2564612182097927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4753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346820809248555E-2"/>
          <c:y val="0.77622891966090446"/>
          <c:w val="0.81610789980732179"/>
          <c:h val="0.19822829617562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Portfolio Efficient Frontier with MVE</a:t>
            </a:r>
            <a:r>
              <a:rPr lang="en-US" baseline="0"/>
              <a:t> and its CAL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17341040462427745"/>
          <c:y val="3.492965678140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3371868978806"/>
          <c:y val="0.15705775283836648"/>
          <c:w val="0.7890173410404614"/>
          <c:h val="0.48906560636182944"/>
        </c:manualLayout>
      </c:layout>
      <c:scatterChart>
        <c:scatterStyle val="smoothMarker"/>
        <c:varyColors val="0"/>
        <c:ser>
          <c:idx val="0"/>
          <c:order val="0"/>
          <c:tx>
            <c:v>Efficient Frontier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'Efficient Frontier'!$B$3:$B$14</c:f>
              <c:numCache>
                <c:formatCode>0.00%</c:formatCode>
                <c:ptCount val="12"/>
                <c:pt idx="0">
                  <c:v>0.29541471936662589</c:v>
                </c:pt>
                <c:pt idx="1">
                  <c:v>0.25821951263674348</c:v>
                </c:pt>
                <c:pt idx="2">
                  <c:v>0.22438200306884154</c:v>
                </c:pt>
                <c:pt idx="3">
                  <c:v>0.19563543889661969</c:v>
                </c:pt>
                <c:pt idx="4">
                  <c:v>0.17452790235198073</c:v>
                </c:pt>
                <c:pt idx="5">
                  <c:v>0.16402602748285772</c:v>
                </c:pt>
                <c:pt idx="6">
                  <c:v>0.16615631217694796</c:v>
                </c:pt>
                <c:pt idx="7">
                  <c:v>0.18047193110896345</c:v>
                </c:pt>
                <c:pt idx="8">
                  <c:v>0.20442879254068536</c:v>
                </c:pt>
                <c:pt idx="9">
                  <c:v>0.23509776685414416</c:v>
                </c:pt>
                <c:pt idx="10">
                  <c:v>0.2702028945452371</c:v>
                </c:pt>
                <c:pt idx="11">
                  <c:v>0.3082321592018355</c:v>
                </c:pt>
              </c:numCache>
            </c:numRef>
          </c:xVal>
          <c:yVal>
            <c:numRef>
              <c:f>'Efficient Frontier'!$A$3:$A$14</c:f>
              <c:numCache>
                <c:formatCode>0%</c:formatCode>
                <c:ptCount val="12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0.12</c:v>
                </c:pt>
                <c:pt idx="11">
                  <c:v>0.13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F6-47FC-85CE-563B69108A97}"/>
            </c:ext>
          </c:extLst>
        </c:ser>
        <c:ser>
          <c:idx val="1"/>
          <c:order val="1"/>
          <c:tx>
            <c:strRef>
              <c:f>Returns!$K$2</c:f>
              <c:strCache>
                <c:ptCount val="1"/>
                <c:pt idx="0">
                  <c:v>PZZA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Returns!$K$66</c:f>
              <c:numCache>
                <c:formatCode>0.00%</c:formatCode>
                <c:ptCount val="1"/>
                <c:pt idx="0">
                  <c:v>0.35312910631888866</c:v>
                </c:pt>
              </c:numCache>
            </c:numRef>
          </c:xVal>
          <c:yVal>
            <c:numRef>
              <c:f>Returns!$K$69</c:f>
              <c:numCache>
                <c:formatCode>0.00%</c:formatCode>
                <c:ptCount val="1"/>
                <c:pt idx="0">
                  <c:v>8.1560873908382556E-2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F6-47FC-85CE-563B69108A97}"/>
            </c:ext>
          </c:extLst>
        </c:ser>
        <c:ser>
          <c:idx val="2"/>
          <c:order val="2"/>
          <c:tx>
            <c:strRef>
              <c:f>Returns!$L$2</c:f>
              <c:strCache>
                <c:ptCount val="1"/>
                <c:pt idx="0">
                  <c:v>AAPL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Returns!$L$66</c:f>
              <c:numCache>
                <c:formatCode>0.00%</c:formatCode>
                <c:ptCount val="1"/>
                <c:pt idx="0">
                  <c:v>0.28910040235229695</c:v>
                </c:pt>
              </c:numCache>
            </c:numRef>
          </c:xVal>
          <c:yVal>
            <c:numRef>
              <c:f>Returns!$L$69</c:f>
              <c:numCache>
                <c:formatCode>0.00%</c:formatCode>
                <c:ptCount val="1"/>
                <c:pt idx="0">
                  <c:v>9.7134224200839198E-2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F6-47FC-85CE-563B69108A97}"/>
            </c:ext>
          </c:extLst>
        </c:ser>
        <c:ser>
          <c:idx val="3"/>
          <c:order val="3"/>
          <c:tx>
            <c:strRef>
              <c:f>Returns!$M$2</c:f>
              <c:strCache>
                <c:ptCount val="1"/>
                <c:pt idx="0">
                  <c:v>PRU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Returns!$M$66</c:f>
              <c:numCache>
                <c:formatCode>0.00%</c:formatCode>
                <c:ptCount val="1"/>
                <c:pt idx="0">
                  <c:v>0.31761354445627621</c:v>
                </c:pt>
              </c:numCache>
            </c:numRef>
          </c:xVal>
          <c:yVal>
            <c:numRef>
              <c:f>Returns!$M$69</c:f>
              <c:numCache>
                <c:formatCode>0.00%</c:formatCode>
                <c:ptCount val="1"/>
                <c:pt idx="0">
                  <c:v>0.12528285559176669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EF6-47FC-85CE-563B69108A97}"/>
            </c:ext>
          </c:extLst>
        </c:ser>
        <c:ser>
          <c:idx val="4"/>
          <c:order val="4"/>
          <c:tx>
            <c:strRef>
              <c:f>Returns!$N$2</c:f>
              <c:strCache>
                <c:ptCount val="1"/>
                <c:pt idx="0">
                  <c:v>DIS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Returns!$N$66</c:f>
              <c:numCache>
                <c:formatCode>0.00%</c:formatCode>
                <c:ptCount val="1"/>
                <c:pt idx="0">
                  <c:v>0.27216591494827891</c:v>
                </c:pt>
              </c:numCache>
            </c:numRef>
          </c:xVal>
          <c:yVal>
            <c:numRef>
              <c:f>Returns!$N$69</c:f>
              <c:numCache>
                <c:formatCode>0.00%</c:formatCode>
                <c:ptCount val="1"/>
                <c:pt idx="0">
                  <c:v>9.776550732861751E-2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EF6-47FC-85CE-563B69108A97}"/>
            </c:ext>
          </c:extLst>
        </c:ser>
        <c:ser>
          <c:idx val="5"/>
          <c:order val="5"/>
          <c:tx>
            <c:strRef>
              <c:f>Returns!$O$2</c:f>
              <c:strCache>
                <c:ptCount val="1"/>
                <c:pt idx="0">
                  <c:v>GE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Returns!$O$66</c:f>
              <c:numCache>
                <c:formatCode>0.00%</c:formatCode>
                <c:ptCount val="1"/>
                <c:pt idx="0">
                  <c:v>0.38829138269079283</c:v>
                </c:pt>
              </c:numCache>
            </c:numRef>
          </c:xVal>
          <c:yVal>
            <c:numRef>
              <c:f>Returns!$O$69</c:f>
              <c:numCache>
                <c:formatCode>0.00%</c:formatCode>
                <c:ptCount val="1"/>
                <c:pt idx="0">
                  <c:v>8.8701392866419065E-2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EF6-47FC-85CE-563B69108A97}"/>
            </c:ext>
          </c:extLst>
        </c:ser>
        <c:ser>
          <c:idx val="6"/>
          <c:order val="6"/>
          <c:tx>
            <c:strRef>
              <c:f>Returns!$P$2</c:f>
              <c:strCache>
                <c:ptCount val="1"/>
                <c:pt idx="0">
                  <c:v>MRK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Returns!$P$66</c:f>
              <c:numCache>
                <c:formatCode>0.00%</c:formatCode>
                <c:ptCount val="1"/>
                <c:pt idx="0">
                  <c:v>0.19982217827251039</c:v>
                </c:pt>
              </c:numCache>
            </c:numRef>
          </c:xVal>
          <c:yVal>
            <c:numRef>
              <c:f>Returns!$P$69</c:f>
              <c:numCache>
                <c:formatCode>0.00%</c:formatCode>
                <c:ptCount val="1"/>
                <c:pt idx="0">
                  <c:v>5.9040557854713599E-2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EF6-47FC-85CE-563B69108A97}"/>
            </c:ext>
          </c:extLst>
        </c:ser>
        <c:ser>
          <c:idx val="7"/>
          <c:order val="7"/>
          <c:tx>
            <c:strRef>
              <c:f>Returns!$Q$2</c:f>
              <c:strCache>
                <c:ptCount val="1"/>
                <c:pt idx="0">
                  <c:v>XOM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Returns!$Q$66</c:f>
              <c:numCache>
                <c:formatCode>0.00%</c:formatCode>
                <c:ptCount val="1"/>
                <c:pt idx="0">
                  <c:v>0.3016130995470907</c:v>
                </c:pt>
              </c:numCache>
            </c:numRef>
          </c:xVal>
          <c:yVal>
            <c:numRef>
              <c:f>Returns!$Q$69</c:f>
              <c:numCache>
                <c:formatCode>0.00%</c:formatCode>
                <c:ptCount val="1"/>
                <c:pt idx="0">
                  <c:v>0.10801997819038896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EF6-47FC-85CE-563B69108A97}"/>
            </c:ext>
          </c:extLst>
        </c:ser>
        <c:ser>
          <c:idx val="8"/>
          <c:order val="8"/>
          <c:tx>
            <c:strRef>
              <c:f>Returns!$R$2</c:f>
              <c:strCache>
                <c:ptCount val="1"/>
                <c:pt idx="0">
                  <c:v>UAL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Returns!$R$66</c:f>
              <c:numCache>
                <c:formatCode>0.00%</c:formatCode>
                <c:ptCount val="1"/>
                <c:pt idx="0">
                  <c:v>0.4511240404173753</c:v>
                </c:pt>
              </c:numCache>
            </c:numRef>
          </c:xVal>
          <c:yVal>
            <c:numRef>
              <c:f>Returns!$R$69</c:f>
              <c:numCache>
                <c:formatCode>0.00%</c:formatCode>
                <c:ptCount val="1"/>
                <c:pt idx="0">
                  <c:v>0.12653360016060811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EF6-47FC-85CE-563B69108A97}"/>
            </c:ext>
          </c:extLst>
        </c:ser>
        <c:ser>
          <c:idx val="12"/>
          <c:order val="9"/>
          <c:tx>
            <c:v>Sharpe Max</c:v>
          </c:tx>
          <c:xVal>
            <c:numRef>
              <c:f>'Covar Matrix'!$B$26</c:f>
              <c:numCache>
                <c:formatCode>0.00%</c:formatCode>
                <c:ptCount val="1"/>
                <c:pt idx="0">
                  <c:v>0.21080756421190952</c:v>
                </c:pt>
              </c:numCache>
            </c:numRef>
          </c:xVal>
          <c:yVal>
            <c:numRef>
              <c:f>'Covar Matrix'!$B$27</c:f>
              <c:numCache>
                <c:formatCode>0.00%</c:formatCode>
                <c:ptCount val="1"/>
                <c:pt idx="0">
                  <c:v>0.1022394772995691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2EF6-47FC-85CE-563B69108A97}"/>
            </c:ext>
          </c:extLst>
        </c:ser>
        <c:ser>
          <c:idx val="9"/>
          <c:order val="10"/>
          <c:tx>
            <c:strRef>
              <c:f>Returns!$S$2</c:f>
              <c:strCache>
                <c:ptCount val="1"/>
                <c:pt idx="0">
                  <c:v>S&amp;P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Returns!$S$66</c:f>
              <c:numCache>
                <c:formatCode>0.00%</c:formatCode>
                <c:ptCount val="1"/>
                <c:pt idx="0">
                  <c:v>0.1543960627628421</c:v>
                </c:pt>
              </c:numCache>
            </c:numRef>
          </c:xVal>
          <c:yVal>
            <c:numRef>
              <c:f>Returns!$S$69</c:f>
              <c:numCache>
                <c:formatCode>0.00%</c:formatCode>
                <c:ptCount val="1"/>
                <c:pt idx="0">
                  <c:v>8.6999999999999994E-2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2EF6-47FC-85CE-563B69108A97}"/>
            </c:ext>
          </c:extLst>
        </c:ser>
        <c:ser>
          <c:idx val="10"/>
          <c:order val="11"/>
          <c:tx>
            <c:v>CAL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'Covar Matrix'!$M$22:$M$24</c:f>
              <c:numCache>
                <c:formatCode>0.00%</c:formatCode>
                <c:ptCount val="3"/>
                <c:pt idx="0" formatCode="0%">
                  <c:v>0</c:v>
                </c:pt>
                <c:pt idx="1">
                  <c:v>0.21080756421190952</c:v>
                </c:pt>
                <c:pt idx="2">
                  <c:v>0.52701891052977379</c:v>
                </c:pt>
              </c:numCache>
            </c:numRef>
          </c:xVal>
          <c:yVal>
            <c:numRef>
              <c:f>'Covar Matrix'!$N$22:$N$24</c:f>
              <c:numCache>
                <c:formatCode>0.000%</c:formatCode>
                <c:ptCount val="3"/>
                <c:pt idx="0" formatCode="0.00%">
                  <c:v>0.03</c:v>
                </c:pt>
                <c:pt idx="1">
                  <c:v>0.1022394772995691</c:v>
                </c:pt>
                <c:pt idx="2">
                  <c:v>0.21059869324892275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2EF6-47FC-85CE-563B69108A97}"/>
            </c:ext>
          </c:extLst>
        </c:ser>
        <c:ser>
          <c:idx val="11"/>
          <c:order val="12"/>
          <c:tx>
            <c:v>Optimal</c:v>
          </c:tx>
          <c:xVal>
            <c:numRef>
              <c:f>'Covar Matrix'!$M$18</c:f>
              <c:numCache>
                <c:formatCode>0.00%</c:formatCode>
                <c:ptCount val="1"/>
                <c:pt idx="0">
                  <c:v>0.11422657368365272</c:v>
                </c:pt>
              </c:numCache>
            </c:numRef>
          </c:xVal>
          <c:yVal>
            <c:numRef>
              <c:f>'Covar Matrix'!$M$17</c:f>
              <c:numCache>
                <c:formatCode>0.00%</c:formatCode>
                <c:ptCount val="1"/>
                <c:pt idx="0">
                  <c:v>6.9143130406520828E-2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2EF6-47FC-85CE-563B69108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144448"/>
        <c:axId val="247146368"/>
      </c:scatterChart>
      <c:valAx>
        <c:axId val="247144448"/>
        <c:scaling>
          <c:orientation val="minMax"/>
          <c:max val="0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Standard Deviation</a:t>
                </a:r>
              </a:p>
            </c:rich>
          </c:tx>
          <c:layout>
            <c:manualLayout>
              <c:xMode val="edge"/>
              <c:yMode val="edge"/>
              <c:x val="0.42341040462427748"/>
              <c:y val="0.70974145473195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146368"/>
        <c:crosses val="autoZero"/>
        <c:crossBetween val="midCat"/>
      </c:valAx>
      <c:valAx>
        <c:axId val="247146368"/>
        <c:scaling>
          <c:orientation val="minMax"/>
          <c:max val="0.1400000000000000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Expected Return </a:t>
                </a:r>
              </a:p>
            </c:rich>
          </c:tx>
          <c:layout>
            <c:manualLayout>
              <c:xMode val="edge"/>
              <c:yMode val="edge"/>
              <c:x val="2.1676300578034682E-2"/>
              <c:y val="0.2564612182097927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1444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346820809248555E-2"/>
          <c:y val="0.77622891966090446"/>
          <c:w val="0.81610789980732179"/>
          <c:h val="0.19822829617562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19</xdr:row>
      <xdr:rowOff>152400</xdr:rowOff>
    </xdr:from>
    <xdr:to>
      <xdr:col>10</xdr:col>
      <xdr:colOff>352425</xdr:colOff>
      <xdr:row>45</xdr:row>
      <xdr:rowOff>171450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48</xdr:row>
      <xdr:rowOff>38100</xdr:rowOff>
    </xdr:from>
    <xdr:to>
      <xdr:col>10</xdr:col>
      <xdr:colOff>285750</xdr:colOff>
      <xdr:row>74</xdr:row>
      <xdr:rowOff>57150</xdr:rowOff>
    </xdr:to>
    <xdr:graphicFrame macro="">
      <xdr:nvGraphicFramePr>
        <xdr:cNvPr id="2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0.51207</cdr:x>
      <cdr:y>0.49877</cdr:y>
    </cdr:from>
    <cdr:to>
      <cdr:x>0.52784</cdr:x>
      <cdr:y>0.5642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3281" y="2397593"/>
          <a:ext cx="104089" cy="314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36576" rIns="45720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25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0.51207</cdr:x>
      <cdr:y>0.49877</cdr:y>
    </cdr:from>
    <cdr:to>
      <cdr:x>0.52784</cdr:x>
      <cdr:y>0.5642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3281" y="2397593"/>
          <a:ext cx="104089" cy="314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36576" rIns="45720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25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9.42578125" customWidth="1"/>
    <col min="2" max="2" width="6.5703125" customWidth="1"/>
    <col min="3" max="4" width="6.85546875" customWidth="1"/>
    <col min="5" max="9" width="6.28515625" customWidth="1"/>
    <col min="10" max="10" width="8.5703125" style="22" customWidth="1"/>
    <col min="11" max="12" width="7.85546875" customWidth="1"/>
    <col min="13" max="13" width="7.5703125" customWidth="1"/>
    <col min="14" max="14" width="8.5703125" customWidth="1"/>
    <col min="15" max="15" width="7.5703125" customWidth="1"/>
    <col min="16" max="16" width="8.28515625" customWidth="1"/>
    <col min="17" max="17" width="7.7109375" customWidth="1"/>
    <col min="18" max="18" width="7.85546875" customWidth="1"/>
    <col min="19" max="19" width="7.5703125" customWidth="1"/>
  </cols>
  <sheetData>
    <row r="1" spans="1:21" s="5" customFormat="1" ht="15.75" x14ac:dyDescent="0.25">
      <c r="B1" s="32" t="s">
        <v>4</v>
      </c>
      <c r="C1" s="32"/>
      <c r="D1" s="32"/>
      <c r="E1" s="32"/>
      <c r="F1" s="32"/>
      <c r="G1" s="32"/>
      <c r="H1" s="32"/>
      <c r="I1" s="32"/>
      <c r="J1" s="32"/>
      <c r="K1" s="32" t="s">
        <v>5</v>
      </c>
      <c r="L1" s="32"/>
      <c r="M1" s="32"/>
      <c r="N1" s="32"/>
      <c r="O1" s="32"/>
      <c r="P1" s="32"/>
      <c r="Q1" s="32"/>
      <c r="R1" s="32"/>
      <c r="S1" s="32"/>
      <c r="T1" s="2" t="s">
        <v>13</v>
      </c>
      <c r="U1" s="7">
        <v>0.03</v>
      </c>
    </row>
    <row r="2" spans="1:21" s="2" customFormat="1" ht="15.75" thickBot="1" x14ac:dyDescent="0.3">
      <c r="A2" s="2" t="s">
        <v>6</v>
      </c>
      <c r="B2" s="2" t="s">
        <v>45</v>
      </c>
      <c r="C2" s="2" t="s">
        <v>0</v>
      </c>
      <c r="D2" s="2" t="s">
        <v>43</v>
      </c>
      <c r="E2" s="2" t="s">
        <v>1</v>
      </c>
      <c r="F2" s="2" t="s">
        <v>44</v>
      </c>
      <c r="G2" s="2" t="s">
        <v>2</v>
      </c>
      <c r="H2" s="2" t="s">
        <v>3</v>
      </c>
      <c r="I2" s="2" t="s">
        <v>46</v>
      </c>
      <c r="J2" s="31" t="s">
        <v>7</v>
      </c>
      <c r="K2" s="4" t="str">
        <f>B2</f>
        <v>PZZA</v>
      </c>
      <c r="L2" s="25" t="str">
        <f t="shared" ref="L2:S2" si="0">C2</f>
        <v>AAPL</v>
      </c>
      <c r="M2" s="25" t="str">
        <f t="shared" si="0"/>
        <v>PRU</v>
      </c>
      <c r="N2" s="25" t="str">
        <f t="shared" si="0"/>
        <v>DIS</v>
      </c>
      <c r="O2" s="25" t="str">
        <f t="shared" si="0"/>
        <v>GE</v>
      </c>
      <c r="P2" s="25" t="str">
        <f t="shared" si="0"/>
        <v>MRK</v>
      </c>
      <c r="Q2" s="25" t="str">
        <f t="shared" si="0"/>
        <v>XOM</v>
      </c>
      <c r="R2" s="25" t="str">
        <f t="shared" si="0"/>
        <v>UAL</v>
      </c>
      <c r="S2" s="25" t="str">
        <f t="shared" si="0"/>
        <v>S&amp;P</v>
      </c>
      <c r="T2" s="2" t="s">
        <v>14</v>
      </c>
      <c r="U2" s="8">
        <v>5.7000000000000002E-2</v>
      </c>
    </row>
    <row r="3" spans="1:21" ht="15.75" thickBot="1" x14ac:dyDescent="0.3">
      <c r="A3" s="34">
        <v>42705</v>
      </c>
      <c r="B3">
        <v>79.721924000000001</v>
      </c>
      <c r="C3">
        <v>27.220133000000001</v>
      </c>
      <c r="D3">
        <v>83.747321999999997</v>
      </c>
      <c r="E3">
        <v>99.039901999999998</v>
      </c>
      <c r="F3">
        <v>224.20343</v>
      </c>
      <c r="G3">
        <v>47.780338</v>
      </c>
      <c r="H3">
        <v>69.507598999999999</v>
      </c>
      <c r="I3">
        <v>72.879997000000003</v>
      </c>
      <c r="J3" s="36">
        <v>2238.83</v>
      </c>
      <c r="K3" s="6"/>
      <c r="L3" s="6"/>
      <c r="M3" s="6"/>
      <c r="N3" s="6"/>
      <c r="O3" s="6"/>
      <c r="P3" s="6"/>
      <c r="Q3" s="6"/>
      <c r="R3" s="6"/>
      <c r="S3" s="6"/>
    </row>
    <row r="4" spans="1:21" ht="15.75" thickBot="1" x14ac:dyDescent="0.3">
      <c r="A4" s="34">
        <v>42736</v>
      </c>
      <c r="B4">
        <v>79.386566000000002</v>
      </c>
      <c r="C4">
        <v>28.519795999999999</v>
      </c>
      <c r="D4">
        <v>84.592369000000005</v>
      </c>
      <c r="E4">
        <v>105.960686</v>
      </c>
      <c r="F4">
        <v>212.30867000000001</v>
      </c>
      <c r="G4">
        <v>50.698681000000001</v>
      </c>
      <c r="H4">
        <v>64.602180000000004</v>
      </c>
      <c r="I4">
        <v>70.470000999999996</v>
      </c>
      <c r="J4" s="36">
        <v>2278.87</v>
      </c>
      <c r="K4" s="6">
        <f t="shared" ref="K4:K62" si="1">LN(B4/B3)</f>
        <v>-4.2154695404913066E-3</v>
      </c>
      <c r="L4" s="6">
        <f t="shared" ref="L4:L62" si="2">LN(C4/C3)</f>
        <v>4.6641559320802869E-2</v>
      </c>
      <c r="M4" s="6">
        <f t="shared" ref="M4:M62" si="3">LN(D4/D3)</f>
        <v>1.0039867523675357E-2</v>
      </c>
      <c r="N4" s="6">
        <f t="shared" ref="N4:N62" si="4">LN(E4/E3)</f>
        <v>6.7545319087492922E-2</v>
      </c>
      <c r="O4" s="6">
        <f t="shared" ref="O4:O62" si="5">LN(F4/F3)</f>
        <v>-5.4512603049835205E-2</v>
      </c>
      <c r="P4" s="6">
        <f t="shared" ref="P4:P62" si="6">LN(G4/G3)</f>
        <v>5.9285678517408978E-2</v>
      </c>
      <c r="Q4" s="6">
        <f t="shared" ref="Q4:Q62" si="7">LN(H4/H3)</f>
        <v>-7.3187928374065833E-2</v>
      </c>
      <c r="R4" s="6">
        <f t="shared" ref="R4:R62" si="8">LN(I4/I3)</f>
        <v>-3.3627110258778986E-2</v>
      </c>
      <c r="S4" s="6">
        <f t="shared" ref="S4:S62" si="9">LN(J4/J3)</f>
        <v>1.772629809300964E-2</v>
      </c>
    </row>
    <row r="5" spans="1:21" ht="15.75" thickBot="1" x14ac:dyDescent="0.3">
      <c r="A5" s="34">
        <v>42767</v>
      </c>
      <c r="B5">
        <v>73.517814999999999</v>
      </c>
      <c r="C5">
        <v>32.195529999999998</v>
      </c>
      <c r="D5">
        <v>88.962418</v>
      </c>
      <c r="E5">
        <v>105.42441599999999</v>
      </c>
      <c r="F5">
        <v>213.09501599999999</v>
      </c>
      <c r="G5">
        <v>53.871952</v>
      </c>
      <c r="H5">
        <v>62.623066000000001</v>
      </c>
      <c r="I5">
        <v>74.089995999999999</v>
      </c>
      <c r="J5" s="36">
        <v>2363.64</v>
      </c>
      <c r="K5" s="6">
        <f t="shared" si="1"/>
        <v>-7.6801402181863682E-2</v>
      </c>
      <c r="L5" s="6">
        <f t="shared" si="2"/>
        <v>0.12122918039287754</v>
      </c>
      <c r="M5" s="6">
        <f t="shared" si="3"/>
        <v>5.0369949290076627E-2</v>
      </c>
      <c r="N5" s="6">
        <f t="shared" si="4"/>
        <v>-5.0738783898613988E-3</v>
      </c>
      <c r="O5" s="6">
        <f t="shared" si="5"/>
        <v>3.6969444388333644E-3</v>
      </c>
      <c r="P5" s="6">
        <f t="shared" si="6"/>
        <v>6.0710076937802199E-2</v>
      </c>
      <c r="Q5" s="6">
        <f t="shared" si="7"/>
        <v>-3.1114479656565421E-2</v>
      </c>
      <c r="R5" s="6">
        <f t="shared" si="8"/>
        <v>5.0093414910804927E-2</v>
      </c>
      <c r="S5" s="6">
        <f t="shared" si="9"/>
        <v>3.6523097609435645E-2</v>
      </c>
    </row>
    <row r="6" spans="1:21" ht="15.75" thickBot="1" x14ac:dyDescent="0.3">
      <c r="A6" s="34">
        <v>42795</v>
      </c>
      <c r="B6">
        <v>74.741721999999996</v>
      </c>
      <c r="C6">
        <v>33.909508000000002</v>
      </c>
      <c r="D6">
        <v>86.434134999999998</v>
      </c>
      <c r="E6">
        <v>108.584564</v>
      </c>
      <c r="F6">
        <v>214.72262599999999</v>
      </c>
      <c r="G6">
        <v>51.966361999999997</v>
      </c>
      <c r="H6">
        <v>63.731934000000003</v>
      </c>
      <c r="I6">
        <v>70.639999000000003</v>
      </c>
      <c r="J6" s="36">
        <v>2362.7199999999998</v>
      </c>
      <c r="K6" s="6">
        <f t="shared" si="1"/>
        <v>1.6510705861824185E-2</v>
      </c>
      <c r="L6" s="6">
        <f t="shared" si="2"/>
        <v>5.1867823999678431E-2</v>
      </c>
      <c r="M6" s="6">
        <f t="shared" si="3"/>
        <v>-2.8831332083705162E-2</v>
      </c>
      <c r="N6" s="6">
        <f t="shared" si="4"/>
        <v>2.9535000983354782E-2</v>
      </c>
      <c r="O6" s="6">
        <f t="shared" si="5"/>
        <v>7.6089328389548965E-3</v>
      </c>
      <c r="P6" s="6">
        <f t="shared" si="6"/>
        <v>-3.6013346771516373E-2</v>
      </c>
      <c r="Q6" s="6">
        <f t="shared" si="7"/>
        <v>1.7552078948573826E-2</v>
      </c>
      <c r="R6" s="6">
        <f t="shared" si="8"/>
        <v>-4.7683974300752441E-2</v>
      </c>
      <c r="S6" s="6">
        <f t="shared" si="9"/>
        <v>-3.8930594013980509E-4</v>
      </c>
    </row>
    <row r="7" spans="1:21" ht="15.75" thickBot="1" x14ac:dyDescent="0.3">
      <c r="A7" s="34">
        <v>42826</v>
      </c>
      <c r="B7">
        <v>73.826576000000003</v>
      </c>
      <c r="C7">
        <v>33.907142999999998</v>
      </c>
      <c r="D7">
        <v>86.717704999999995</v>
      </c>
      <c r="E7">
        <v>110.70090500000001</v>
      </c>
      <c r="F7">
        <v>208.8862</v>
      </c>
      <c r="G7">
        <v>51.344619999999999</v>
      </c>
      <c r="H7">
        <v>63.452156000000002</v>
      </c>
      <c r="I7">
        <v>70.209998999999996</v>
      </c>
      <c r="J7" s="36">
        <v>2384.1999999999998</v>
      </c>
      <c r="K7" s="6">
        <f t="shared" si="1"/>
        <v>-1.2319688479436326E-2</v>
      </c>
      <c r="L7" s="6">
        <f t="shared" si="2"/>
        <v>-6.9746882693001882E-5</v>
      </c>
      <c r="M7" s="6">
        <f t="shared" si="3"/>
        <v>3.2753940531779096E-3</v>
      </c>
      <c r="N7" s="6">
        <f t="shared" si="4"/>
        <v>1.9302753812002752E-2</v>
      </c>
      <c r="O7" s="6">
        <f t="shared" si="5"/>
        <v>-2.7557477524806757E-2</v>
      </c>
      <c r="P7" s="6">
        <f t="shared" si="6"/>
        <v>-1.2036464938419363E-2</v>
      </c>
      <c r="Q7" s="6">
        <f t="shared" si="7"/>
        <v>-4.3995825466752164E-3</v>
      </c>
      <c r="R7" s="6">
        <f t="shared" si="8"/>
        <v>-6.1058053532471422E-3</v>
      </c>
      <c r="S7" s="6">
        <f t="shared" si="9"/>
        <v>9.0501405584374091E-3</v>
      </c>
    </row>
    <row r="8" spans="1:21" ht="15.75" thickBot="1" x14ac:dyDescent="0.3">
      <c r="A8" s="34">
        <v>42856</v>
      </c>
      <c r="B8">
        <v>75.236618000000007</v>
      </c>
      <c r="C8">
        <v>36.057461000000004</v>
      </c>
      <c r="D8">
        <v>84.951430999999999</v>
      </c>
      <c r="E8">
        <v>103.365532</v>
      </c>
      <c r="F8">
        <v>197.285416</v>
      </c>
      <c r="G8">
        <v>53.634655000000002</v>
      </c>
      <c r="H8">
        <v>62.558467999999998</v>
      </c>
      <c r="I8">
        <v>79.669998000000007</v>
      </c>
      <c r="J8" s="36">
        <v>2411.8000000000002</v>
      </c>
      <c r="K8" s="6">
        <f t="shared" si="1"/>
        <v>1.8919278743578922E-2</v>
      </c>
      <c r="L8" s="6">
        <f t="shared" si="2"/>
        <v>6.1488104713973986E-2</v>
      </c>
      <c r="M8" s="6">
        <f t="shared" si="3"/>
        <v>-2.0578379678627814E-2</v>
      </c>
      <c r="N8" s="6">
        <f t="shared" si="4"/>
        <v>-6.8560454655708439E-2</v>
      </c>
      <c r="O8" s="6">
        <f t="shared" si="5"/>
        <v>-5.7138113659528748E-2</v>
      </c>
      <c r="P8" s="6">
        <f t="shared" si="6"/>
        <v>4.3635247954285188E-2</v>
      </c>
      <c r="Q8" s="6">
        <f t="shared" si="7"/>
        <v>-1.4184565648373473E-2</v>
      </c>
      <c r="R8" s="6">
        <f t="shared" si="8"/>
        <v>0.12640234150255036</v>
      </c>
      <c r="S8" s="6">
        <f t="shared" si="9"/>
        <v>1.1509718385591177E-2</v>
      </c>
    </row>
    <row r="9" spans="1:21" ht="15.75" thickBot="1" x14ac:dyDescent="0.3">
      <c r="A9" s="34">
        <v>42887</v>
      </c>
      <c r="B9">
        <v>67.179405000000003</v>
      </c>
      <c r="C9">
        <v>34.134796000000001</v>
      </c>
      <c r="D9">
        <v>88.256905000000003</v>
      </c>
      <c r="E9">
        <v>101.747147</v>
      </c>
      <c r="F9">
        <v>194.61938499999999</v>
      </c>
      <c r="G9">
        <v>52.794426000000001</v>
      </c>
      <c r="H9">
        <v>63.329639</v>
      </c>
      <c r="I9">
        <v>75.25</v>
      </c>
      <c r="J9" s="36">
        <v>2423.41</v>
      </c>
      <c r="K9" s="6">
        <f t="shared" si="1"/>
        <v>-0.11327132658531625</v>
      </c>
      <c r="L9" s="6">
        <f t="shared" si="2"/>
        <v>-5.4796530287479085E-2</v>
      </c>
      <c r="M9" s="6">
        <f t="shared" si="3"/>
        <v>3.8172243199472863E-2</v>
      </c>
      <c r="N9" s="6">
        <f t="shared" si="4"/>
        <v>-1.5780775656328634E-2</v>
      </c>
      <c r="O9" s="6">
        <f t="shared" si="5"/>
        <v>-1.3605713020232451E-2</v>
      </c>
      <c r="P9" s="6">
        <f t="shared" si="6"/>
        <v>-1.5789790704095332E-2</v>
      </c>
      <c r="Q9" s="6">
        <f t="shared" si="7"/>
        <v>1.2251842765917427E-2</v>
      </c>
      <c r="R9" s="6">
        <f t="shared" si="8"/>
        <v>-5.707717465973719E-2</v>
      </c>
      <c r="S9" s="6">
        <f t="shared" si="9"/>
        <v>4.802282553352028E-3</v>
      </c>
    </row>
    <row r="10" spans="1:21" ht="15.75" thickBot="1" x14ac:dyDescent="0.3">
      <c r="A10" s="34">
        <v>42917</v>
      </c>
      <c r="B10">
        <v>66.776854999999998</v>
      </c>
      <c r="C10">
        <v>35.251122000000002</v>
      </c>
      <c r="D10">
        <v>92.411026000000007</v>
      </c>
      <c r="E10">
        <v>105.271187</v>
      </c>
      <c r="F10">
        <v>186.08845500000001</v>
      </c>
      <c r="G10">
        <v>53.008353999999997</v>
      </c>
      <c r="H10">
        <v>62.788361000000002</v>
      </c>
      <c r="I10">
        <v>67.680000000000007</v>
      </c>
      <c r="J10" s="36">
        <v>2470.3000000000002</v>
      </c>
      <c r="K10" s="6">
        <f t="shared" si="1"/>
        <v>-6.0101888744026142E-3</v>
      </c>
      <c r="L10" s="6">
        <f t="shared" si="2"/>
        <v>3.2180083957258993E-2</v>
      </c>
      <c r="M10" s="6">
        <f t="shared" si="3"/>
        <v>4.5994364154232546E-2</v>
      </c>
      <c r="N10" s="6">
        <f t="shared" si="4"/>
        <v>3.4048969349181293E-2</v>
      </c>
      <c r="O10" s="6">
        <f t="shared" si="5"/>
        <v>-4.4823654200374922E-2</v>
      </c>
      <c r="P10" s="6">
        <f t="shared" si="6"/>
        <v>4.0439068148029758E-3</v>
      </c>
      <c r="Q10" s="6">
        <f t="shared" si="7"/>
        <v>-8.5837283093691281E-3</v>
      </c>
      <c r="R10" s="6">
        <f t="shared" si="8"/>
        <v>-0.10602518833101723</v>
      </c>
      <c r="S10" s="6">
        <f t="shared" si="9"/>
        <v>1.9163961513693484E-2</v>
      </c>
    </row>
    <row r="11" spans="1:21" ht="15.75" thickBot="1" x14ac:dyDescent="0.3">
      <c r="A11" s="34">
        <v>42948</v>
      </c>
      <c r="B11">
        <v>70.015998999999994</v>
      </c>
      <c r="C11">
        <v>38.870331</v>
      </c>
      <c r="D11">
        <v>83.311126999999999</v>
      </c>
      <c r="E11">
        <v>97.632103000000001</v>
      </c>
      <c r="F11">
        <v>178.38623000000001</v>
      </c>
      <c r="G11">
        <v>52.991764000000003</v>
      </c>
      <c r="H11">
        <v>59.878014</v>
      </c>
      <c r="I11">
        <v>61.959999000000003</v>
      </c>
      <c r="J11" s="36">
        <v>2471.65</v>
      </c>
      <c r="K11" s="6">
        <f t="shared" si="1"/>
        <v>4.7367234609108827E-2</v>
      </c>
      <c r="L11" s="6">
        <f t="shared" si="2"/>
        <v>9.7733901853622573E-2</v>
      </c>
      <c r="M11" s="6">
        <f t="shared" si="3"/>
        <v>-0.10366418284972956</v>
      </c>
      <c r="N11" s="6">
        <f t="shared" si="4"/>
        <v>-7.5333390451061744E-2</v>
      </c>
      <c r="O11" s="6">
        <f t="shared" si="5"/>
        <v>-4.2271094116110339E-2</v>
      </c>
      <c r="P11" s="6">
        <f t="shared" si="6"/>
        <v>-3.1301852202568909E-4</v>
      </c>
      <c r="Q11" s="6">
        <f t="shared" si="7"/>
        <v>-4.7460329233960007E-2</v>
      </c>
      <c r="R11" s="6">
        <f t="shared" si="8"/>
        <v>-8.8301715888744955E-2</v>
      </c>
      <c r="S11" s="6">
        <f t="shared" si="9"/>
        <v>5.4634305631591474E-4</v>
      </c>
    </row>
    <row r="12" spans="1:21" ht="15.75" thickBot="1" x14ac:dyDescent="0.3">
      <c r="A12" s="34">
        <v>42979</v>
      </c>
      <c r="B12">
        <v>68.603722000000005</v>
      </c>
      <c r="C12">
        <v>36.672085000000003</v>
      </c>
      <c r="D12">
        <v>87.410117999999997</v>
      </c>
      <c r="E12">
        <v>95.094832999999994</v>
      </c>
      <c r="F12">
        <v>175.697723</v>
      </c>
      <c r="G12">
        <v>53.132828000000003</v>
      </c>
      <c r="H12">
        <v>64.933571000000001</v>
      </c>
      <c r="I12">
        <v>60.880001</v>
      </c>
      <c r="J12" s="36">
        <v>2519.36</v>
      </c>
      <c r="K12" s="6">
        <f t="shared" si="1"/>
        <v>-2.0376983257238888E-2</v>
      </c>
      <c r="L12" s="6">
        <f t="shared" si="2"/>
        <v>-5.8215421458312079E-2</v>
      </c>
      <c r="M12" s="6">
        <f t="shared" si="3"/>
        <v>4.8028924868345396E-2</v>
      </c>
      <c r="N12" s="6">
        <f t="shared" si="4"/>
        <v>-2.6331727722191726E-2</v>
      </c>
      <c r="O12" s="6">
        <f t="shared" si="5"/>
        <v>-1.5185995549389481E-2</v>
      </c>
      <c r="P12" s="6">
        <f t="shared" si="6"/>
        <v>2.6584617273225138E-3</v>
      </c>
      <c r="Q12" s="6">
        <f t="shared" si="7"/>
        <v>8.1055370029150364E-2</v>
      </c>
      <c r="R12" s="6">
        <f t="shared" si="8"/>
        <v>-1.7584269430037196E-2</v>
      </c>
      <c r="S12" s="6">
        <f t="shared" si="9"/>
        <v>1.9118957203248872E-2</v>
      </c>
    </row>
    <row r="13" spans="1:21" ht="15.75" thickBot="1" x14ac:dyDescent="0.3">
      <c r="A13" s="34">
        <v>43009</v>
      </c>
      <c r="B13">
        <v>63.890549</v>
      </c>
      <c r="C13">
        <v>40.222220999999998</v>
      </c>
      <c r="D13">
        <v>90.813805000000002</v>
      </c>
      <c r="E13">
        <v>94.361626000000001</v>
      </c>
      <c r="F13">
        <v>147.951065</v>
      </c>
      <c r="G13">
        <v>46.044967999999997</v>
      </c>
      <c r="H13">
        <v>66.018699999999995</v>
      </c>
      <c r="I13">
        <v>58.48</v>
      </c>
      <c r="J13" s="36">
        <v>2575.2600000000002</v>
      </c>
      <c r="K13" s="6">
        <f t="shared" si="1"/>
        <v>-7.1175342348402698E-2</v>
      </c>
      <c r="L13" s="6">
        <f t="shared" si="2"/>
        <v>9.2403765168545524E-2</v>
      </c>
      <c r="M13" s="6">
        <f t="shared" si="3"/>
        <v>3.8200268944216347E-2</v>
      </c>
      <c r="N13" s="6">
        <f t="shared" si="4"/>
        <v>-7.7401495245624603E-3</v>
      </c>
      <c r="O13" s="6">
        <f t="shared" si="5"/>
        <v>-0.17188345832072385</v>
      </c>
      <c r="P13" s="6">
        <f t="shared" si="6"/>
        <v>-0.14317648277700551</v>
      </c>
      <c r="Q13" s="6">
        <f t="shared" si="7"/>
        <v>1.6573272530552401E-2</v>
      </c>
      <c r="R13" s="6">
        <f t="shared" si="8"/>
        <v>-4.0219914537662806E-2</v>
      </c>
      <c r="S13" s="6">
        <f t="shared" si="9"/>
        <v>2.1945598878305109E-2</v>
      </c>
    </row>
    <row r="14" spans="1:21" ht="15.75" thickBot="1" x14ac:dyDescent="0.3">
      <c r="A14" s="34">
        <v>43040</v>
      </c>
      <c r="B14">
        <v>54.886718999999999</v>
      </c>
      <c r="C14">
        <v>40.890841999999999</v>
      </c>
      <c r="D14">
        <v>95.236915999999994</v>
      </c>
      <c r="E14">
        <v>101.124481</v>
      </c>
      <c r="F14">
        <v>134.22747799999999</v>
      </c>
      <c r="G14">
        <v>46.195411999999997</v>
      </c>
      <c r="H14">
        <v>65.971183999999994</v>
      </c>
      <c r="I14">
        <v>63.32</v>
      </c>
      <c r="J14" s="36">
        <v>2647.58</v>
      </c>
      <c r="K14" s="6">
        <f t="shared" si="1"/>
        <v>-0.15190004078975619</v>
      </c>
      <c r="L14" s="6">
        <f t="shared" si="2"/>
        <v>1.6486521893474868E-2</v>
      </c>
      <c r="M14" s="6">
        <f t="shared" si="3"/>
        <v>4.755632824634122E-2</v>
      </c>
      <c r="N14" s="6">
        <f t="shared" si="4"/>
        <v>6.9217756834512201E-2</v>
      </c>
      <c r="O14" s="6">
        <f t="shared" si="5"/>
        <v>-9.7345619521458301E-2</v>
      </c>
      <c r="P14" s="6">
        <f t="shared" si="6"/>
        <v>3.2620015963044395E-3</v>
      </c>
      <c r="Q14" s="6">
        <f t="shared" si="7"/>
        <v>-7.1999460280855714E-4</v>
      </c>
      <c r="R14" s="6">
        <f t="shared" si="8"/>
        <v>7.9516419571288299E-2</v>
      </c>
      <c r="S14" s="6">
        <f t="shared" si="9"/>
        <v>2.7695515330648682E-2</v>
      </c>
    </row>
    <row r="15" spans="1:21" ht="15.75" thickBot="1" x14ac:dyDescent="0.3">
      <c r="A15" s="34">
        <v>43070</v>
      </c>
      <c r="B15">
        <v>52.873900999999996</v>
      </c>
      <c r="C15">
        <v>40.412188999999998</v>
      </c>
      <c r="D15">
        <v>95.180610999999999</v>
      </c>
      <c r="E15">
        <v>103.71965</v>
      </c>
      <c r="F15">
        <v>128.062805</v>
      </c>
      <c r="G15">
        <v>47.031227000000001</v>
      </c>
      <c r="H15">
        <v>66.861525999999998</v>
      </c>
      <c r="I15">
        <v>67.400002000000001</v>
      </c>
      <c r="J15" s="36">
        <v>2673.61</v>
      </c>
      <c r="K15" s="6">
        <f t="shared" si="1"/>
        <v>-3.7361554401156481E-2</v>
      </c>
      <c r="L15" s="6">
        <f t="shared" si="2"/>
        <v>-1.1774678613071524E-2</v>
      </c>
      <c r="M15" s="6">
        <f t="shared" si="3"/>
        <v>-5.91384653798055E-4</v>
      </c>
      <c r="N15" s="6">
        <f t="shared" si="4"/>
        <v>2.5339343091610105E-2</v>
      </c>
      <c r="O15" s="6">
        <f t="shared" si="5"/>
        <v>-4.7015150030815016E-2</v>
      </c>
      <c r="P15" s="6">
        <f t="shared" si="6"/>
        <v>1.7931299549501678E-2</v>
      </c>
      <c r="Q15" s="6">
        <f t="shared" si="7"/>
        <v>1.3405663916799992E-2</v>
      </c>
      <c r="R15" s="6">
        <f t="shared" si="8"/>
        <v>6.2443812579040109E-2</v>
      </c>
      <c r="S15" s="6">
        <f t="shared" si="9"/>
        <v>9.783603904362663E-3</v>
      </c>
    </row>
    <row r="16" spans="1:21" ht="15.75" thickBot="1" x14ac:dyDescent="0.3">
      <c r="A16" s="34">
        <v>43101</v>
      </c>
      <c r="B16">
        <v>61.147522000000002</v>
      </c>
      <c r="C16">
        <v>39.982346</v>
      </c>
      <c r="D16">
        <v>98.359367000000006</v>
      </c>
      <c r="E16">
        <v>105.682114</v>
      </c>
      <c r="F16">
        <v>119.48844099999999</v>
      </c>
      <c r="G16">
        <v>49.943187999999999</v>
      </c>
      <c r="H16">
        <v>69.787323000000001</v>
      </c>
      <c r="I16">
        <v>67.819999999999993</v>
      </c>
      <c r="J16" s="36">
        <v>2823.81</v>
      </c>
      <c r="K16" s="6">
        <f t="shared" si="1"/>
        <v>0.14537948572828061</v>
      </c>
      <c r="L16" s="6">
        <f t="shared" si="2"/>
        <v>-1.069344069285544E-2</v>
      </c>
      <c r="M16" s="6">
        <f t="shared" si="3"/>
        <v>3.2851526696176379E-2</v>
      </c>
      <c r="N16" s="6">
        <f t="shared" si="4"/>
        <v>1.8744077603964231E-2</v>
      </c>
      <c r="O16" s="6">
        <f t="shared" si="5"/>
        <v>-6.9301168986232994E-2</v>
      </c>
      <c r="P16" s="6">
        <f t="shared" si="6"/>
        <v>6.0074334071497391E-2</v>
      </c>
      <c r="Q16" s="6">
        <f t="shared" si="7"/>
        <v>4.2828669819998874E-2</v>
      </c>
      <c r="R16" s="6">
        <f t="shared" si="8"/>
        <v>6.2120891056409279E-3</v>
      </c>
      <c r="S16" s="6">
        <f t="shared" si="9"/>
        <v>5.4657417787024952E-2</v>
      </c>
    </row>
    <row r="17" spans="1:19" ht="15.75" thickBot="1" x14ac:dyDescent="0.3">
      <c r="A17" s="34">
        <v>43132</v>
      </c>
      <c r="B17">
        <v>54.409892999999997</v>
      </c>
      <c r="C17">
        <v>42.535130000000002</v>
      </c>
      <c r="D17">
        <v>88.011841000000004</v>
      </c>
      <c r="E17">
        <v>100.323616</v>
      </c>
      <c r="F17">
        <v>104.266052</v>
      </c>
      <c r="G17">
        <v>45.703288999999998</v>
      </c>
      <c r="H17">
        <v>60.546272000000002</v>
      </c>
      <c r="I17">
        <v>67.790001000000004</v>
      </c>
      <c r="J17" s="36">
        <v>2713.83</v>
      </c>
      <c r="K17" s="6">
        <f t="shared" si="1"/>
        <v>-0.11674334406310402</v>
      </c>
      <c r="L17" s="6">
        <f t="shared" si="2"/>
        <v>6.1892316039389633E-2</v>
      </c>
      <c r="M17" s="6">
        <f t="shared" si="3"/>
        <v>-0.11115641953994833</v>
      </c>
      <c r="N17" s="6">
        <f t="shared" si="4"/>
        <v>-5.20345429068933E-2</v>
      </c>
      <c r="O17" s="6">
        <f t="shared" si="5"/>
        <v>-0.13627381381462961</v>
      </c>
      <c r="P17" s="6">
        <f t="shared" si="6"/>
        <v>-8.8715854742167394E-2</v>
      </c>
      <c r="Q17" s="6">
        <f t="shared" si="7"/>
        <v>-0.14204447521006475</v>
      </c>
      <c r="R17" s="6">
        <f t="shared" si="8"/>
        <v>-4.4243050317994709E-4</v>
      </c>
      <c r="S17" s="6">
        <f t="shared" si="9"/>
        <v>-3.9726115635920697E-2</v>
      </c>
    </row>
    <row r="18" spans="1:19" ht="15.75" thickBot="1" x14ac:dyDescent="0.3">
      <c r="A18" s="34">
        <v>43160</v>
      </c>
      <c r="B18">
        <v>54.211807</v>
      </c>
      <c r="C18">
        <v>40.229278999999998</v>
      </c>
      <c r="D18">
        <v>86.429680000000005</v>
      </c>
      <c r="E18">
        <v>97.678398000000001</v>
      </c>
      <c r="F18">
        <v>100.43501999999999</v>
      </c>
      <c r="G18">
        <v>45.914020999999998</v>
      </c>
      <c r="H18">
        <v>60.252861000000003</v>
      </c>
      <c r="I18">
        <v>69.470000999999996</v>
      </c>
      <c r="J18" s="36">
        <v>2640.87</v>
      </c>
      <c r="K18" s="6">
        <f t="shared" si="1"/>
        <v>-3.6472678955968589E-3</v>
      </c>
      <c r="L18" s="6">
        <f t="shared" si="2"/>
        <v>-5.5735258877445966E-2</v>
      </c>
      <c r="M18" s="6">
        <f t="shared" si="3"/>
        <v>-1.8140226904880642E-2</v>
      </c>
      <c r="N18" s="6">
        <f t="shared" si="4"/>
        <v>-2.672069171555562E-2</v>
      </c>
      <c r="O18" s="6">
        <f t="shared" si="5"/>
        <v>-3.7434873624745298E-2</v>
      </c>
      <c r="P18" s="6">
        <f t="shared" si="6"/>
        <v>4.6002741541947712E-3</v>
      </c>
      <c r="Q18" s="6">
        <f t="shared" si="7"/>
        <v>-4.8578424318324268E-3</v>
      </c>
      <c r="R18" s="6">
        <f t="shared" si="8"/>
        <v>2.4480312905179626E-2</v>
      </c>
      <c r="S18" s="6">
        <f t="shared" si="9"/>
        <v>-2.725251295379243E-2</v>
      </c>
    </row>
    <row r="19" spans="1:19" ht="15.75" thickBot="1" x14ac:dyDescent="0.3">
      <c r="A19" s="34">
        <v>43191</v>
      </c>
      <c r="B19">
        <v>58.658489000000003</v>
      </c>
      <c r="C19">
        <v>39.625045999999998</v>
      </c>
      <c r="D19">
        <v>88.741698999999997</v>
      </c>
      <c r="E19">
        <v>97.571426000000002</v>
      </c>
      <c r="F19">
        <v>104.83090199999999</v>
      </c>
      <c r="G19">
        <v>50.056812000000001</v>
      </c>
      <c r="H19">
        <v>62.788623999999999</v>
      </c>
      <c r="I19">
        <v>67.540001000000004</v>
      </c>
      <c r="J19" s="36">
        <v>2648.05</v>
      </c>
      <c r="K19" s="6">
        <f t="shared" si="1"/>
        <v>7.8833578558576672E-2</v>
      </c>
      <c r="L19" s="6">
        <f t="shared" si="2"/>
        <v>-1.5133670772250769E-2</v>
      </c>
      <c r="M19" s="6">
        <f t="shared" si="3"/>
        <v>2.6398756247180629E-2</v>
      </c>
      <c r="N19" s="6">
        <f t="shared" si="4"/>
        <v>-1.0957450154019967E-3</v>
      </c>
      <c r="O19" s="6">
        <f t="shared" si="5"/>
        <v>4.2837643614339165E-2</v>
      </c>
      <c r="P19" s="6">
        <f t="shared" si="6"/>
        <v>8.6388061565928612E-2</v>
      </c>
      <c r="Q19" s="6">
        <f t="shared" si="7"/>
        <v>4.1223853847786034E-2</v>
      </c>
      <c r="R19" s="6">
        <f t="shared" si="8"/>
        <v>-2.8174989336029656E-2</v>
      </c>
      <c r="S19" s="6">
        <f t="shared" si="9"/>
        <v>2.7151117471289339E-3</v>
      </c>
    </row>
    <row r="20" spans="1:19" ht="15.75" thickBot="1" x14ac:dyDescent="0.3">
      <c r="A20" s="34">
        <v>43221</v>
      </c>
      <c r="B20">
        <v>48.582478000000002</v>
      </c>
      <c r="C20">
        <v>44.806572000000003</v>
      </c>
      <c r="D20">
        <v>80.829063000000005</v>
      </c>
      <c r="E20">
        <v>96.735068999999996</v>
      </c>
      <c r="F20">
        <v>104.905418</v>
      </c>
      <c r="G20">
        <v>50.618015</v>
      </c>
      <c r="H20">
        <v>65.607056</v>
      </c>
      <c r="I20">
        <v>69.589995999999999</v>
      </c>
      <c r="J20" s="36">
        <v>2705.27</v>
      </c>
      <c r="K20" s="6">
        <f t="shared" si="1"/>
        <v>-0.18846937368995056</v>
      </c>
      <c r="L20" s="6">
        <f t="shared" si="2"/>
        <v>0.1228934320105905</v>
      </c>
      <c r="M20" s="6">
        <f t="shared" si="3"/>
        <v>-9.3393300138776614E-2</v>
      </c>
      <c r="N20" s="6">
        <f t="shared" si="4"/>
        <v>-8.608689742079274E-3</v>
      </c>
      <c r="O20" s="6">
        <f t="shared" si="5"/>
        <v>7.1056842358367754E-4</v>
      </c>
      <c r="P20" s="6">
        <f t="shared" si="6"/>
        <v>1.1148940202554046E-2</v>
      </c>
      <c r="Q20" s="6">
        <f t="shared" si="7"/>
        <v>4.390934057305685E-2</v>
      </c>
      <c r="R20" s="6">
        <f t="shared" si="8"/>
        <v>2.9900791613771745E-2</v>
      </c>
      <c r="S20" s="6">
        <f t="shared" si="9"/>
        <v>2.1378202402637565E-2</v>
      </c>
    </row>
    <row r="21" spans="1:19" ht="15.75" thickBot="1" x14ac:dyDescent="0.3">
      <c r="A21" s="34">
        <v>43252</v>
      </c>
      <c r="B21">
        <v>48.177647</v>
      </c>
      <c r="C21">
        <v>44.555717000000001</v>
      </c>
      <c r="D21">
        <v>78.741493000000006</v>
      </c>
      <c r="E21">
        <v>101.928246</v>
      </c>
      <c r="F21">
        <v>101.403595</v>
      </c>
      <c r="G21">
        <v>51.612858000000003</v>
      </c>
      <c r="H21">
        <v>67.487533999999997</v>
      </c>
      <c r="I21">
        <v>69.730002999999996</v>
      </c>
      <c r="J21" s="36">
        <v>2718.37</v>
      </c>
      <c r="K21" s="6">
        <f t="shared" si="1"/>
        <v>-8.3677726165249065E-3</v>
      </c>
      <c r="L21" s="6">
        <f t="shared" si="2"/>
        <v>-5.6143516854603222E-3</v>
      </c>
      <c r="M21" s="6">
        <f t="shared" si="3"/>
        <v>-2.6166344974201537E-2</v>
      </c>
      <c r="N21" s="6">
        <f t="shared" si="4"/>
        <v>5.2293100725419886E-2</v>
      </c>
      <c r="O21" s="6">
        <f t="shared" si="5"/>
        <v>-3.3950619080650314E-2</v>
      </c>
      <c r="P21" s="6">
        <f t="shared" si="6"/>
        <v>1.946328689374972E-2</v>
      </c>
      <c r="Q21" s="6">
        <f t="shared" si="7"/>
        <v>2.8259648199891803E-2</v>
      </c>
      <c r="R21" s="6">
        <f t="shared" si="8"/>
        <v>2.0098628787733534E-3</v>
      </c>
      <c r="S21" s="6">
        <f t="shared" si="9"/>
        <v>4.8307134968018613E-3</v>
      </c>
    </row>
    <row r="22" spans="1:19" ht="15.75" thickBot="1" x14ac:dyDescent="0.3">
      <c r="A22" s="34">
        <v>43282</v>
      </c>
      <c r="B22">
        <v>39.856749999999998</v>
      </c>
      <c r="C22">
        <v>45.802536000000003</v>
      </c>
      <c r="D22">
        <v>84.972770999999995</v>
      </c>
      <c r="E22">
        <v>110.437668</v>
      </c>
      <c r="F22">
        <v>102.453964</v>
      </c>
      <c r="G22">
        <v>56.441733999999997</v>
      </c>
      <c r="H22">
        <v>66.492294000000001</v>
      </c>
      <c r="I22">
        <v>80.400002000000001</v>
      </c>
      <c r="J22" s="36">
        <v>2816.29</v>
      </c>
      <c r="K22" s="6">
        <f t="shared" si="1"/>
        <v>-0.18960338221548703</v>
      </c>
      <c r="L22" s="6">
        <f t="shared" si="2"/>
        <v>2.7598987361069714E-2</v>
      </c>
      <c r="M22" s="6">
        <f t="shared" si="3"/>
        <v>7.616061751989707E-2</v>
      </c>
      <c r="N22" s="6">
        <f t="shared" si="4"/>
        <v>8.0182176156671101E-2</v>
      </c>
      <c r="O22" s="6">
        <f t="shared" si="5"/>
        <v>1.0305021803758687E-2</v>
      </c>
      <c r="P22" s="6">
        <f t="shared" si="6"/>
        <v>8.9438021911898605E-2</v>
      </c>
      <c r="Q22" s="6">
        <f t="shared" si="7"/>
        <v>-1.4856838093288605E-2</v>
      </c>
      <c r="R22" s="6">
        <f t="shared" si="8"/>
        <v>0.14238351680453487</v>
      </c>
      <c r="S22" s="6">
        <f t="shared" si="9"/>
        <v>3.5387979976799259E-2</v>
      </c>
    </row>
    <row r="23" spans="1:19" ht="15.75" thickBot="1" x14ac:dyDescent="0.3">
      <c r="A23" s="34">
        <v>43313</v>
      </c>
      <c r="B23">
        <v>43.808224000000003</v>
      </c>
      <c r="C23">
        <v>54.790225999999997</v>
      </c>
      <c r="D23">
        <v>82.732872</v>
      </c>
      <c r="E23">
        <v>109.81568900000001</v>
      </c>
      <c r="F23">
        <v>97.267371999999995</v>
      </c>
      <c r="G23">
        <v>58.772396000000001</v>
      </c>
      <c r="H23">
        <v>65.399185000000003</v>
      </c>
      <c r="I23">
        <v>87.419998000000007</v>
      </c>
      <c r="J23" s="36">
        <v>2901.52</v>
      </c>
      <c r="K23" s="6">
        <f t="shared" si="1"/>
        <v>9.4529786227644449E-2</v>
      </c>
      <c r="L23" s="6">
        <f t="shared" si="2"/>
        <v>0.17917235961586492</v>
      </c>
      <c r="M23" s="6">
        <f t="shared" si="3"/>
        <v>-2.6713856055068007E-2</v>
      </c>
      <c r="N23" s="6">
        <f t="shared" si="4"/>
        <v>-5.6478653657280773E-3</v>
      </c>
      <c r="O23" s="6">
        <f t="shared" si="5"/>
        <v>-5.1949967044855515E-2</v>
      </c>
      <c r="P23" s="6">
        <f t="shared" si="6"/>
        <v>4.0463439489161659E-2</v>
      </c>
      <c r="Q23" s="6">
        <f t="shared" si="7"/>
        <v>-1.6576264636185122E-2</v>
      </c>
      <c r="R23" s="6">
        <f t="shared" si="8"/>
        <v>8.3709865496566074E-2</v>
      </c>
      <c r="S23" s="6">
        <f t="shared" si="9"/>
        <v>2.9814321663194848E-2</v>
      </c>
    </row>
    <row r="24" spans="1:19" ht="15.75" thickBot="1" x14ac:dyDescent="0.3">
      <c r="A24" s="34">
        <v>43344</v>
      </c>
      <c r="B24">
        <v>48.975433000000002</v>
      </c>
      <c r="C24">
        <v>54.525866999999998</v>
      </c>
      <c r="D24">
        <v>86.102348000000006</v>
      </c>
      <c r="E24">
        <v>114.63887800000001</v>
      </c>
      <c r="F24">
        <v>84.864661999999996</v>
      </c>
      <c r="G24">
        <v>60.786037</v>
      </c>
      <c r="H24">
        <v>70.070969000000005</v>
      </c>
      <c r="I24">
        <v>89.059997999999993</v>
      </c>
      <c r="J24" s="36">
        <v>2913.98</v>
      </c>
      <c r="K24" s="6">
        <f t="shared" si="1"/>
        <v>0.11149724272275904</v>
      </c>
      <c r="L24" s="6">
        <f t="shared" si="2"/>
        <v>-4.8366074579816194E-3</v>
      </c>
      <c r="M24" s="6">
        <f t="shared" si="3"/>
        <v>3.9919673738829181E-2</v>
      </c>
      <c r="N24" s="6">
        <f t="shared" si="4"/>
        <v>4.2983590376776459E-2</v>
      </c>
      <c r="O24" s="6">
        <f t="shared" si="5"/>
        <v>-0.13640582312707783</v>
      </c>
      <c r="P24" s="6">
        <f t="shared" si="6"/>
        <v>3.3687819098798352E-2</v>
      </c>
      <c r="Q24" s="6">
        <f t="shared" si="7"/>
        <v>6.899877470313294E-2</v>
      </c>
      <c r="R24" s="6">
        <f t="shared" si="8"/>
        <v>1.8586210879676841E-2</v>
      </c>
      <c r="S24" s="6">
        <f t="shared" si="9"/>
        <v>4.2851067203219049E-3</v>
      </c>
    </row>
    <row r="25" spans="1:19" ht="15.75" thickBot="1" x14ac:dyDescent="0.3">
      <c r="A25" s="34">
        <v>43374</v>
      </c>
      <c r="B25">
        <v>52.088928000000003</v>
      </c>
      <c r="C25">
        <v>52.864044</v>
      </c>
      <c r="D25">
        <v>79.694817</v>
      </c>
      <c r="E25">
        <v>112.570396</v>
      </c>
      <c r="F25">
        <v>76.643271999999996</v>
      </c>
      <c r="G25">
        <v>63.50423</v>
      </c>
      <c r="H25">
        <v>65.669906999999995</v>
      </c>
      <c r="I25">
        <v>85.510002</v>
      </c>
      <c r="J25" s="36">
        <v>2711.74</v>
      </c>
      <c r="K25" s="6">
        <f t="shared" si="1"/>
        <v>6.1633606742489529E-2</v>
      </c>
      <c r="L25" s="6">
        <f t="shared" si="2"/>
        <v>-3.0951802701513081E-2</v>
      </c>
      <c r="M25" s="6">
        <f t="shared" si="3"/>
        <v>-7.7332129363502283E-2</v>
      </c>
      <c r="N25" s="6">
        <f t="shared" si="4"/>
        <v>-1.8208228140552386E-2</v>
      </c>
      <c r="O25" s="6">
        <f t="shared" si="5"/>
        <v>-0.10189594994743024</v>
      </c>
      <c r="P25" s="6">
        <f t="shared" si="6"/>
        <v>4.3746409861047629E-2</v>
      </c>
      <c r="Q25" s="6">
        <f t="shared" si="7"/>
        <v>-6.4867787284826672E-2</v>
      </c>
      <c r="R25" s="6">
        <f t="shared" si="8"/>
        <v>-4.067692587984429E-2</v>
      </c>
      <c r="S25" s="6">
        <f t="shared" si="9"/>
        <v>-7.1929349055660202E-2</v>
      </c>
    </row>
    <row r="26" spans="1:19" ht="15.75" thickBot="1" x14ac:dyDescent="0.3">
      <c r="A26" s="34">
        <v>43405</v>
      </c>
      <c r="B26">
        <v>45.833286000000001</v>
      </c>
      <c r="C26">
        <v>43.134704999999997</v>
      </c>
      <c r="D26">
        <v>79.677818000000002</v>
      </c>
      <c r="E26">
        <v>113.217415</v>
      </c>
      <c r="F26">
        <v>56.913330000000002</v>
      </c>
      <c r="G26">
        <v>68.447570999999996</v>
      </c>
      <c r="H26">
        <v>65.521561000000005</v>
      </c>
      <c r="I26">
        <v>96.699996999999996</v>
      </c>
      <c r="J26" s="36">
        <v>2760.17</v>
      </c>
      <c r="K26" s="6">
        <f t="shared" si="1"/>
        <v>-0.12794181606883362</v>
      </c>
      <c r="L26" s="6">
        <f t="shared" si="2"/>
        <v>-0.20339551671132214</v>
      </c>
      <c r="M26" s="6">
        <f t="shared" si="3"/>
        <v>-2.1332395068283477E-4</v>
      </c>
      <c r="N26" s="6">
        <f t="shared" si="4"/>
        <v>5.7312285210180634E-3</v>
      </c>
      <c r="O26" s="6">
        <f t="shared" si="5"/>
        <v>-0.29763224151646217</v>
      </c>
      <c r="P26" s="6">
        <f t="shared" si="6"/>
        <v>7.4961547495548453E-2</v>
      </c>
      <c r="Q26" s="6">
        <f t="shared" si="7"/>
        <v>-2.2615199827773595E-3</v>
      </c>
      <c r="R26" s="6">
        <f t="shared" si="8"/>
        <v>0.12298001987852229</v>
      </c>
      <c r="S26" s="6">
        <f t="shared" si="9"/>
        <v>1.7701776759294796E-2</v>
      </c>
    </row>
    <row r="27" spans="1:19" ht="15.75" thickBot="1" x14ac:dyDescent="0.3">
      <c r="A27" s="34">
        <v>43435</v>
      </c>
      <c r="B27">
        <v>38.173186999999999</v>
      </c>
      <c r="C27">
        <v>38.233902</v>
      </c>
      <c r="D27">
        <v>69.993637000000007</v>
      </c>
      <c r="E27">
        <v>107.492332</v>
      </c>
      <c r="F27">
        <v>57.444519</v>
      </c>
      <c r="G27">
        <v>65.919822999999994</v>
      </c>
      <c r="H27">
        <v>56.769900999999997</v>
      </c>
      <c r="I27">
        <v>83.730002999999996</v>
      </c>
      <c r="J27" s="36">
        <v>2506.85</v>
      </c>
      <c r="K27" s="6">
        <f t="shared" si="1"/>
        <v>-0.18287723754780055</v>
      </c>
      <c r="L27" s="6">
        <f t="shared" si="2"/>
        <v>-0.1206052845714342</v>
      </c>
      <c r="M27" s="6">
        <f t="shared" si="3"/>
        <v>-0.12958689044552318</v>
      </c>
      <c r="N27" s="6">
        <f t="shared" si="4"/>
        <v>-5.1890481901645663E-2</v>
      </c>
      <c r="O27" s="6">
        <f t="shared" si="5"/>
        <v>9.2900106982428607E-3</v>
      </c>
      <c r="P27" s="6">
        <f t="shared" si="6"/>
        <v>-3.7628864824001344E-2</v>
      </c>
      <c r="Q27" s="6">
        <f t="shared" si="7"/>
        <v>-0.14337299074502813</v>
      </c>
      <c r="R27" s="6">
        <f t="shared" si="8"/>
        <v>-0.14401599938967158</v>
      </c>
      <c r="S27" s="6">
        <f t="shared" si="9"/>
        <v>-9.6265287118076068E-2</v>
      </c>
    </row>
    <row r="28" spans="1:19" ht="15.75" thickBot="1" x14ac:dyDescent="0.3">
      <c r="A28" s="34">
        <v>43466</v>
      </c>
      <c r="B28">
        <v>40.551231000000001</v>
      </c>
      <c r="C28">
        <v>40.342647999999997</v>
      </c>
      <c r="D28">
        <v>79.082932</v>
      </c>
      <c r="E28">
        <v>110.173546</v>
      </c>
      <c r="F28">
        <v>77.204650999999998</v>
      </c>
      <c r="G28">
        <v>64.661758000000006</v>
      </c>
      <c r="H28">
        <v>61.007441999999998</v>
      </c>
      <c r="I28">
        <v>87.269997000000004</v>
      </c>
      <c r="J28" s="36">
        <v>2704.1</v>
      </c>
      <c r="K28" s="6">
        <f t="shared" si="1"/>
        <v>6.0432779520960586E-2</v>
      </c>
      <c r="L28" s="6">
        <f t="shared" si="2"/>
        <v>5.3686563474493319E-2</v>
      </c>
      <c r="M28" s="6">
        <f t="shared" si="3"/>
        <v>0.12209273607575154</v>
      </c>
      <c r="N28" s="6">
        <f t="shared" si="4"/>
        <v>2.4637298663635093E-2</v>
      </c>
      <c r="O28" s="6">
        <f t="shared" si="5"/>
        <v>0.29564010628628795</v>
      </c>
      <c r="P28" s="6">
        <f t="shared" si="6"/>
        <v>-1.9269240227170682E-2</v>
      </c>
      <c r="Q28" s="6">
        <f t="shared" si="7"/>
        <v>7.1989583429611495E-2</v>
      </c>
      <c r="R28" s="6">
        <f t="shared" si="8"/>
        <v>4.1409354753353445E-2</v>
      </c>
      <c r="S28" s="6">
        <f t="shared" si="9"/>
        <v>7.574215482837561E-2</v>
      </c>
    </row>
    <row r="29" spans="1:19" ht="15.75" thickBot="1" x14ac:dyDescent="0.3">
      <c r="A29" s="34">
        <v>43497</v>
      </c>
      <c r="B29">
        <v>41.912838000000001</v>
      </c>
      <c r="C29">
        <v>41.969051</v>
      </c>
      <c r="D29">
        <v>82.267189000000002</v>
      </c>
      <c r="E29">
        <v>111.477608</v>
      </c>
      <c r="F29">
        <v>82.110480999999993</v>
      </c>
      <c r="G29">
        <v>70.621452000000005</v>
      </c>
      <c r="H29">
        <v>65.794471999999999</v>
      </c>
      <c r="I29">
        <v>87.809997999999993</v>
      </c>
      <c r="J29" s="36">
        <v>2784.49</v>
      </c>
      <c r="K29" s="6">
        <f t="shared" si="1"/>
        <v>3.3026038495881607E-2</v>
      </c>
      <c r="L29" s="6">
        <f t="shared" si="2"/>
        <v>3.9523293286412235E-2</v>
      </c>
      <c r="M29" s="6">
        <f t="shared" si="3"/>
        <v>3.9475278620175892E-2</v>
      </c>
      <c r="N29" s="6">
        <f t="shared" si="4"/>
        <v>1.1766932165330318E-2</v>
      </c>
      <c r="O29" s="6">
        <f t="shared" si="5"/>
        <v>6.1605968368915617E-2</v>
      </c>
      <c r="P29" s="6">
        <f t="shared" si="6"/>
        <v>8.8163990738909487E-2</v>
      </c>
      <c r="Q29" s="6">
        <f t="shared" si="7"/>
        <v>7.5539965912081342E-2</v>
      </c>
      <c r="R29" s="6">
        <f t="shared" si="8"/>
        <v>6.1686397963095357E-3</v>
      </c>
      <c r="S29" s="6">
        <f t="shared" si="9"/>
        <v>2.9295592986693514E-2</v>
      </c>
    </row>
    <row r="30" spans="1:19" ht="15.75" thickBot="1" x14ac:dyDescent="0.3">
      <c r="A30" s="34">
        <v>43525</v>
      </c>
      <c r="B30">
        <v>51.035763000000003</v>
      </c>
      <c r="C30">
        <v>46.238593999999999</v>
      </c>
      <c r="D30">
        <v>79.706360000000004</v>
      </c>
      <c r="E30">
        <v>109.68946099999999</v>
      </c>
      <c r="F30">
        <v>78.949348000000001</v>
      </c>
      <c r="G30">
        <v>72.254729999999995</v>
      </c>
      <c r="H30">
        <v>68.014854</v>
      </c>
      <c r="I30">
        <v>79.779999000000004</v>
      </c>
      <c r="J30" s="36">
        <v>2834.4</v>
      </c>
      <c r="K30" s="6">
        <f t="shared" si="1"/>
        <v>0.19693444608810184</v>
      </c>
      <c r="L30" s="6">
        <f t="shared" si="2"/>
        <v>9.6882351626667473E-2</v>
      </c>
      <c r="M30" s="6">
        <f t="shared" si="3"/>
        <v>-3.1622970754075337E-2</v>
      </c>
      <c r="N30" s="6">
        <f t="shared" si="4"/>
        <v>-1.6170454056950563E-2</v>
      </c>
      <c r="O30" s="6">
        <f t="shared" si="5"/>
        <v>-3.9259187422747983E-2</v>
      </c>
      <c r="P30" s="6">
        <f t="shared" si="6"/>
        <v>2.2863840941155567E-2</v>
      </c>
      <c r="Q30" s="6">
        <f t="shared" si="7"/>
        <v>3.3190299853779609E-2</v>
      </c>
      <c r="R30" s="6">
        <f t="shared" si="8"/>
        <v>-9.5902532652663935E-2</v>
      </c>
      <c r="S30" s="6">
        <f t="shared" si="9"/>
        <v>1.7765541837019908E-2</v>
      </c>
    </row>
    <row r="31" spans="1:19" ht="15.75" thickBot="1" x14ac:dyDescent="0.3">
      <c r="A31" s="34">
        <v>43556</v>
      </c>
      <c r="B31">
        <v>49.310473999999999</v>
      </c>
      <c r="C31">
        <v>48.848109999999998</v>
      </c>
      <c r="D31">
        <v>91.703948999999994</v>
      </c>
      <c r="E31">
        <v>135.31626900000001</v>
      </c>
      <c r="F31">
        <v>80.457008000000002</v>
      </c>
      <c r="G31">
        <v>68.844086000000004</v>
      </c>
      <c r="H31">
        <v>67.577140999999997</v>
      </c>
      <c r="I31">
        <v>88.860000999999997</v>
      </c>
      <c r="J31" s="36">
        <v>2945.83</v>
      </c>
      <c r="K31" s="6">
        <f t="shared" si="1"/>
        <v>-3.4390109423386515E-2</v>
      </c>
      <c r="L31" s="6">
        <f t="shared" si="2"/>
        <v>5.4900870545941532E-2</v>
      </c>
      <c r="M31" s="6">
        <f t="shared" si="3"/>
        <v>0.14021606081586122</v>
      </c>
      <c r="N31" s="6">
        <f t="shared" si="4"/>
        <v>0.20996148028741046</v>
      </c>
      <c r="O31" s="6">
        <f t="shared" si="5"/>
        <v>1.8916497374587591E-2</v>
      </c>
      <c r="P31" s="6">
        <f t="shared" si="6"/>
        <v>-4.8353467369643778E-2</v>
      </c>
      <c r="Q31" s="6">
        <f t="shared" si="7"/>
        <v>-6.456347522336342E-3</v>
      </c>
      <c r="R31" s="6">
        <f t="shared" si="8"/>
        <v>0.10778927481862906</v>
      </c>
      <c r="S31" s="6">
        <f t="shared" si="9"/>
        <v>3.8560336443090391E-2</v>
      </c>
    </row>
    <row r="32" spans="1:19" ht="15.75" thickBot="1" x14ac:dyDescent="0.3">
      <c r="A32" s="34">
        <v>43586</v>
      </c>
      <c r="B32">
        <v>46.71772</v>
      </c>
      <c r="C32">
        <v>42.616427999999999</v>
      </c>
      <c r="D32">
        <v>80.140113999999997</v>
      </c>
      <c r="E32">
        <v>130.445786</v>
      </c>
      <c r="F32">
        <v>74.681800999999993</v>
      </c>
      <c r="G32">
        <v>69.281418000000002</v>
      </c>
      <c r="H32">
        <v>59.571917999999997</v>
      </c>
      <c r="I32">
        <v>77.650002000000001</v>
      </c>
      <c r="J32" s="36">
        <v>2752.06</v>
      </c>
      <c r="K32" s="6">
        <f t="shared" si="1"/>
        <v>-5.4012976885184388E-2</v>
      </c>
      <c r="L32" s="6">
        <f t="shared" si="2"/>
        <v>-0.13647587513284243</v>
      </c>
      <c r="M32" s="6">
        <f t="shared" si="3"/>
        <v>-0.13478891495782383</v>
      </c>
      <c r="N32" s="6">
        <f t="shared" si="4"/>
        <v>-3.6657064354080969E-2</v>
      </c>
      <c r="O32" s="6">
        <f t="shared" si="5"/>
        <v>-7.4486545038776039E-2</v>
      </c>
      <c r="P32" s="6">
        <f t="shared" si="6"/>
        <v>6.3324071041098752E-3</v>
      </c>
      <c r="Q32" s="6">
        <f t="shared" si="7"/>
        <v>-0.12608548643836451</v>
      </c>
      <c r="R32" s="6">
        <f t="shared" si="8"/>
        <v>-0.13485053341012385</v>
      </c>
      <c r="S32" s="6">
        <f t="shared" si="9"/>
        <v>-6.8040888853204307E-2</v>
      </c>
    </row>
    <row r="33" spans="1:19" ht="15.75" thickBot="1" x14ac:dyDescent="0.3">
      <c r="A33" s="34">
        <v>43617</v>
      </c>
      <c r="B33">
        <v>43.286327</v>
      </c>
      <c r="C33">
        <v>48.364223000000003</v>
      </c>
      <c r="D33">
        <v>88.529655000000005</v>
      </c>
      <c r="E33">
        <v>137.954025</v>
      </c>
      <c r="F33">
        <v>83.067711000000003</v>
      </c>
      <c r="G33">
        <v>73.339813000000007</v>
      </c>
      <c r="H33">
        <v>65.244072000000003</v>
      </c>
      <c r="I33">
        <v>87.550003000000004</v>
      </c>
      <c r="J33" s="36">
        <v>2941.76</v>
      </c>
      <c r="K33" s="6">
        <f t="shared" si="1"/>
        <v>-7.6286724489898344E-2</v>
      </c>
      <c r="L33" s="6">
        <f t="shared" si="2"/>
        <v>0.12652053342842037</v>
      </c>
      <c r="M33" s="6">
        <f t="shared" si="3"/>
        <v>9.956105291369817E-2</v>
      </c>
      <c r="N33" s="6">
        <f t="shared" si="4"/>
        <v>5.596276997939556E-2</v>
      </c>
      <c r="O33" s="6">
        <f t="shared" si="5"/>
        <v>0.10641963578532324</v>
      </c>
      <c r="P33" s="6">
        <f t="shared" si="6"/>
        <v>5.6926881159569995E-2</v>
      </c>
      <c r="Q33" s="6">
        <f t="shared" si="7"/>
        <v>9.0950902963850208E-2</v>
      </c>
      <c r="R33" s="6">
        <f t="shared" si="8"/>
        <v>0.11999851764669801</v>
      </c>
      <c r="S33" s="6">
        <f t="shared" si="9"/>
        <v>6.6658319534241436E-2</v>
      </c>
    </row>
    <row r="34" spans="1:19" ht="15.75" thickBot="1" x14ac:dyDescent="0.3">
      <c r="A34" s="34">
        <v>43647</v>
      </c>
      <c r="B34">
        <v>42.995944999999999</v>
      </c>
      <c r="C34">
        <v>52.058990000000001</v>
      </c>
      <c r="D34">
        <v>88.801376000000005</v>
      </c>
      <c r="E34">
        <v>141.28334000000001</v>
      </c>
      <c r="F34">
        <v>82.751709000000005</v>
      </c>
      <c r="G34">
        <v>73.072402999999994</v>
      </c>
      <c r="H34">
        <v>63.311363</v>
      </c>
      <c r="I34">
        <v>91.910004000000001</v>
      </c>
      <c r="J34" s="36">
        <v>2980.38</v>
      </c>
      <c r="K34" s="6">
        <f t="shared" si="1"/>
        <v>-6.7310025481475471E-3</v>
      </c>
      <c r="L34" s="6">
        <f t="shared" si="2"/>
        <v>7.3617152517755982E-2</v>
      </c>
      <c r="M34" s="6">
        <f t="shared" si="3"/>
        <v>3.0645647422746893E-3</v>
      </c>
      <c r="N34" s="6">
        <f t="shared" si="4"/>
        <v>2.3846900097030967E-2</v>
      </c>
      <c r="O34" s="6">
        <f t="shared" si="5"/>
        <v>-3.8114037854113884E-3</v>
      </c>
      <c r="P34" s="6">
        <f t="shared" si="6"/>
        <v>-3.6528413359053729E-3</v>
      </c>
      <c r="Q34" s="6">
        <f t="shared" si="7"/>
        <v>-3.0070368192274204E-2</v>
      </c>
      <c r="R34" s="6">
        <f t="shared" si="8"/>
        <v>4.8599787892858744E-2</v>
      </c>
      <c r="S34" s="6">
        <f t="shared" si="9"/>
        <v>1.3042767473010496E-2</v>
      </c>
    </row>
    <row r="35" spans="1:19" ht="15.75" thickBot="1" x14ac:dyDescent="0.3">
      <c r="A35" s="34">
        <v>43678</v>
      </c>
      <c r="B35">
        <v>48.164749</v>
      </c>
      <c r="C35">
        <v>51.008223999999998</v>
      </c>
      <c r="D35">
        <v>70.201378000000005</v>
      </c>
      <c r="E35">
        <v>136.44253499999999</v>
      </c>
      <c r="F35">
        <v>65.330292</v>
      </c>
      <c r="G35">
        <v>76.136543000000003</v>
      </c>
      <c r="H35">
        <v>58.305027000000003</v>
      </c>
      <c r="I35">
        <v>84.309997999999993</v>
      </c>
      <c r="J35" s="36">
        <v>2926.46</v>
      </c>
      <c r="K35" s="6">
        <f t="shared" si="1"/>
        <v>0.11352159602178669</v>
      </c>
      <c r="L35" s="6">
        <f t="shared" si="2"/>
        <v>-2.0390624060601336E-2</v>
      </c>
      <c r="M35" s="6">
        <f t="shared" si="3"/>
        <v>-0.23503420490482954</v>
      </c>
      <c r="N35" s="6">
        <f t="shared" si="4"/>
        <v>-3.4863840599535512E-2</v>
      </c>
      <c r="O35" s="6">
        <f t="shared" si="5"/>
        <v>-0.2363888481534199</v>
      </c>
      <c r="P35" s="6">
        <f t="shared" si="6"/>
        <v>4.107757518315043E-2</v>
      </c>
      <c r="Q35" s="6">
        <f t="shared" si="7"/>
        <v>-8.2376507254395118E-2</v>
      </c>
      <c r="R35" s="6">
        <f t="shared" si="8"/>
        <v>-8.630942267824733E-2</v>
      </c>
      <c r="S35" s="6">
        <f t="shared" si="9"/>
        <v>-1.8257307714875135E-2</v>
      </c>
    </row>
    <row r="36" spans="1:19" ht="15.75" thickBot="1" x14ac:dyDescent="0.3">
      <c r="A36" s="34">
        <v>43709</v>
      </c>
      <c r="B36">
        <v>50.919593999999996</v>
      </c>
      <c r="C36">
        <v>54.937812999999998</v>
      </c>
      <c r="D36">
        <v>79.817001000000005</v>
      </c>
      <c r="E36">
        <v>129.543869</v>
      </c>
      <c r="F36">
        <v>70.794289000000006</v>
      </c>
      <c r="G36">
        <v>74.120193</v>
      </c>
      <c r="H36">
        <v>60.866058000000002</v>
      </c>
      <c r="I36">
        <v>88.410004000000001</v>
      </c>
      <c r="J36" s="36">
        <v>2976.74</v>
      </c>
      <c r="K36" s="6">
        <f t="shared" si="1"/>
        <v>5.5620395422957512E-2</v>
      </c>
      <c r="L36" s="6">
        <f t="shared" si="2"/>
        <v>7.4214998186443462E-2</v>
      </c>
      <c r="M36" s="6">
        <f t="shared" si="3"/>
        <v>0.1283685864089214</v>
      </c>
      <c r="N36" s="6">
        <f t="shared" si="4"/>
        <v>-5.1883956442039032E-2</v>
      </c>
      <c r="O36" s="6">
        <f t="shared" si="5"/>
        <v>8.0322515145896597E-2</v>
      </c>
      <c r="P36" s="6">
        <f t="shared" si="6"/>
        <v>-2.6840341419611724E-2</v>
      </c>
      <c r="Q36" s="6">
        <f t="shared" si="7"/>
        <v>4.2987363388500684E-2</v>
      </c>
      <c r="R36" s="6">
        <f t="shared" si="8"/>
        <v>4.7484672448857165E-2</v>
      </c>
      <c r="S36" s="6">
        <f t="shared" si="9"/>
        <v>1.7035240523677681E-2</v>
      </c>
    </row>
    <row r="37" spans="1:19" ht="15.75" thickBot="1" x14ac:dyDescent="0.3">
      <c r="A37" s="34">
        <v>43739</v>
      </c>
      <c r="B37">
        <v>56.950190999999997</v>
      </c>
      <c r="C37">
        <v>61.018577999999998</v>
      </c>
      <c r="D37">
        <v>80.872947999999994</v>
      </c>
      <c r="E37">
        <v>129.146255</v>
      </c>
      <c r="F37">
        <v>79.115279999999998</v>
      </c>
      <c r="G37">
        <v>76.810912999999999</v>
      </c>
      <c r="H37">
        <v>58.245564000000002</v>
      </c>
      <c r="I37">
        <v>90.839995999999999</v>
      </c>
      <c r="J37" s="36">
        <v>3037.56</v>
      </c>
      <c r="K37" s="6">
        <f t="shared" si="1"/>
        <v>0.11192924334072543</v>
      </c>
      <c r="L37" s="6">
        <f t="shared" si="2"/>
        <v>0.10497650236962076</v>
      </c>
      <c r="M37" s="6">
        <f t="shared" si="3"/>
        <v>1.3142853133111801E-2</v>
      </c>
      <c r="N37" s="6">
        <f t="shared" si="4"/>
        <v>-3.0740586997868554E-3</v>
      </c>
      <c r="O37" s="6">
        <f t="shared" si="5"/>
        <v>0.11112769571218771</v>
      </c>
      <c r="P37" s="6">
        <f t="shared" si="6"/>
        <v>3.5658721113702663E-2</v>
      </c>
      <c r="Q37" s="6">
        <f t="shared" si="7"/>
        <v>-4.4007744403287509E-2</v>
      </c>
      <c r="R37" s="6">
        <f t="shared" si="8"/>
        <v>2.711454254242858E-2</v>
      </c>
      <c r="S37" s="6">
        <f t="shared" si="9"/>
        <v>2.0225819582931022E-2</v>
      </c>
    </row>
    <row r="38" spans="1:19" ht="15.75" thickBot="1" x14ac:dyDescent="0.3">
      <c r="A38" s="34">
        <v>43770</v>
      </c>
      <c r="B38">
        <v>61.550944999999999</v>
      </c>
      <c r="C38">
        <v>65.554007999999996</v>
      </c>
      <c r="D38">
        <v>83.073577999999998</v>
      </c>
      <c r="E38">
        <v>150.67726099999999</v>
      </c>
      <c r="F38">
        <v>89.341628999999998</v>
      </c>
      <c r="G38">
        <v>77.271820000000005</v>
      </c>
      <c r="H38">
        <v>58.728274999999996</v>
      </c>
      <c r="I38">
        <v>92.800003000000004</v>
      </c>
      <c r="J38" s="36">
        <v>3140.98</v>
      </c>
      <c r="K38" s="6">
        <f t="shared" si="1"/>
        <v>7.7688162177136963E-2</v>
      </c>
      <c r="L38" s="6">
        <f t="shared" si="2"/>
        <v>7.1695977323063514E-2</v>
      </c>
      <c r="M38" s="6">
        <f t="shared" si="3"/>
        <v>2.6847317020494945E-2</v>
      </c>
      <c r="N38" s="6">
        <f t="shared" si="4"/>
        <v>0.15419468323227564</v>
      </c>
      <c r="O38" s="6">
        <f t="shared" si="5"/>
        <v>0.12156152015509118</v>
      </c>
      <c r="P38" s="6">
        <f t="shared" si="6"/>
        <v>5.9826090275303806E-3</v>
      </c>
      <c r="Q38" s="6">
        <f t="shared" si="7"/>
        <v>8.2533623625960211E-3</v>
      </c>
      <c r="R38" s="6">
        <f t="shared" si="8"/>
        <v>2.1346998915849399E-2</v>
      </c>
      <c r="S38" s="6">
        <f t="shared" si="9"/>
        <v>3.3480291579323126E-2</v>
      </c>
    </row>
    <row r="39" spans="1:19" ht="15.75" thickBot="1" x14ac:dyDescent="0.3">
      <c r="A39" s="34">
        <v>43800</v>
      </c>
      <c r="B39">
        <v>61.651378999999999</v>
      </c>
      <c r="C39">
        <v>72.245956000000007</v>
      </c>
      <c r="D39">
        <v>84.065513999999993</v>
      </c>
      <c r="E39">
        <v>143.76864599999999</v>
      </c>
      <c r="F39">
        <v>88.469604000000004</v>
      </c>
      <c r="G39">
        <v>80.613349999999997</v>
      </c>
      <c r="H39">
        <v>60.875988</v>
      </c>
      <c r="I39">
        <v>88.089995999999999</v>
      </c>
      <c r="J39" s="36">
        <v>3230.78</v>
      </c>
      <c r="K39" s="6">
        <f t="shared" si="1"/>
        <v>1.6303916839687839E-3</v>
      </c>
      <c r="L39" s="6">
        <f t="shared" si="2"/>
        <v>9.7202000602453681E-2</v>
      </c>
      <c r="M39" s="6">
        <f t="shared" si="3"/>
        <v>1.1869726397237502E-2</v>
      </c>
      <c r="N39" s="6">
        <f t="shared" si="4"/>
        <v>-4.6934822493698944E-2</v>
      </c>
      <c r="O39" s="6">
        <f t="shared" si="5"/>
        <v>-9.8085140799565769E-3</v>
      </c>
      <c r="P39" s="6">
        <f t="shared" si="6"/>
        <v>4.2334933110741803E-2</v>
      </c>
      <c r="Q39" s="6">
        <f t="shared" si="7"/>
        <v>3.5917513848448594E-2</v>
      </c>
      <c r="R39" s="6">
        <f t="shared" si="8"/>
        <v>-5.2087698406142663E-2</v>
      </c>
      <c r="S39" s="6">
        <f t="shared" si="9"/>
        <v>2.818874101228944E-2</v>
      </c>
    </row>
    <row r="40" spans="1:19" ht="15.75" thickBot="1" x14ac:dyDescent="0.3">
      <c r="A40" s="34">
        <v>43831</v>
      </c>
      <c r="B40">
        <v>63.242686999999997</v>
      </c>
      <c r="C40">
        <v>76.147934000000006</v>
      </c>
      <c r="D40">
        <v>81.662102000000004</v>
      </c>
      <c r="E40">
        <v>138.30999800000001</v>
      </c>
      <c r="F40">
        <v>98.785415999999998</v>
      </c>
      <c r="G40">
        <v>76.248863</v>
      </c>
      <c r="H40">
        <v>54.193409000000003</v>
      </c>
      <c r="I40">
        <v>74.800003000000004</v>
      </c>
      <c r="J40" s="36">
        <v>3225.52</v>
      </c>
      <c r="K40" s="6">
        <f t="shared" si="1"/>
        <v>2.5483902801886098E-2</v>
      </c>
      <c r="L40" s="6">
        <f t="shared" si="2"/>
        <v>5.2601595202269216E-2</v>
      </c>
      <c r="M40" s="6">
        <f t="shared" si="3"/>
        <v>-2.9006396991556611E-2</v>
      </c>
      <c r="N40" s="6">
        <f t="shared" si="4"/>
        <v>-3.8707854393677583E-2</v>
      </c>
      <c r="O40" s="6">
        <f t="shared" si="5"/>
        <v>0.11029094713047835</v>
      </c>
      <c r="P40" s="6">
        <f t="shared" si="6"/>
        <v>-5.5661764650400784E-2</v>
      </c>
      <c r="Q40" s="6">
        <f t="shared" si="7"/>
        <v>-0.11627951536547411</v>
      </c>
      <c r="R40" s="6">
        <f t="shared" si="8"/>
        <v>-0.16354104862621527</v>
      </c>
      <c r="S40" s="6">
        <f t="shared" si="9"/>
        <v>-1.6294165896177356E-3</v>
      </c>
    </row>
    <row r="41" spans="1:19" ht="15.75" thickBot="1" x14ac:dyDescent="0.3">
      <c r="A41" s="34">
        <v>43862</v>
      </c>
      <c r="B41">
        <v>56.242851000000002</v>
      </c>
      <c r="C41">
        <v>67.254035999999999</v>
      </c>
      <c r="D41">
        <v>67.663155000000003</v>
      </c>
      <c r="E41">
        <v>117.650002</v>
      </c>
      <c r="F41">
        <v>86.328140000000005</v>
      </c>
      <c r="G41">
        <v>68.324119999999994</v>
      </c>
      <c r="H41">
        <v>44.876198000000002</v>
      </c>
      <c r="I41">
        <v>61.59</v>
      </c>
      <c r="J41" s="36">
        <v>2954.22</v>
      </c>
      <c r="K41" s="6">
        <f t="shared" si="1"/>
        <v>-0.11730056069554427</v>
      </c>
      <c r="L41" s="6">
        <f t="shared" si="2"/>
        <v>-0.1242009167589463</v>
      </c>
      <c r="M41" s="6">
        <f t="shared" si="3"/>
        <v>-0.18804823396166448</v>
      </c>
      <c r="N41" s="6">
        <f t="shared" si="4"/>
        <v>-0.16178339600339975</v>
      </c>
      <c r="O41" s="6">
        <f t="shared" si="5"/>
        <v>-0.13479436574024142</v>
      </c>
      <c r="P41" s="6">
        <f t="shared" si="6"/>
        <v>-0.10973965178921115</v>
      </c>
      <c r="Q41" s="6">
        <f t="shared" si="7"/>
        <v>-0.18865175305411014</v>
      </c>
      <c r="R41" s="6">
        <f t="shared" si="8"/>
        <v>-0.19431840538843079</v>
      </c>
      <c r="S41" s="6">
        <f t="shared" si="9"/>
        <v>-8.7859520936204846E-2</v>
      </c>
    </row>
    <row r="42" spans="1:19" ht="15.75" thickBot="1" x14ac:dyDescent="0.3">
      <c r="A42" s="34">
        <v>43891</v>
      </c>
      <c r="B42">
        <v>52.282383000000003</v>
      </c>
      <c r="C42">
        <v>62.710780999999997</v>
      </c>
      <c r="D42">
        <v>47.303325999999998</v>
      </c>
      <c r="E42">
        <v>96.599997999999999</v>
      </c>
      <c r="F42">
        <v>63.000506999999999</v>
      </c>
      <c r="G42">
        <v>68.663230999999996</v>
      </c>
      <c r="H42">
        <v>33.600540000000002</v>
      </c>
      <c r="I42">
        <v>31.549999</v>
      </c>
      <c r="J42" s="36">
        <v>2584.59</v>
      </c>
      <c r="K42" s="6">
        <f t="shared" si="1"/>
        <v>-7.3019470472621986E-2</v>
      </c>
      <c r="L42" s="6">
        <f t="shared" si="2"/>
        <v>-6.9943652919597171E-2</v>
      </c>
      <c r="M42" s="6">
        <f t="shared" si="3"/>
        <v>-0.35796118232479107</v>
      </c>
      <c r="N42" s="6">
        <f t="shared" si="4"/>
        <v>-0.19713541165840795</v>
      </c>
      <c r="O42" s="6">
        <f t="shared" si="5"/>
        <v>-0.31501284280372438</v>
      </c>
      <c r="P42" s="6">
        <f t="shared" si="6"/>
        <v>4.9509927774246797E-3</v>
      </c>
      <c r="Q42" s="6">
        <f t="shared" si="7"/>
        <v>-0.289365404562345</v>
      </c>
      <c r="R42" s="6">
        <f t="shared" si="8"/>
        <v>-0.66892596240745139</v>
      </c>
      <c r="S42" s="6">
        <f t="shared" si="9"/>
        <v>-0.13366776859296695</v>
      </c>
    </row>
    <row r="43" spans="1:19" ht="15.75" thickBot="1" x14ac:dyDescent="0.3">
      <c r="A43" s="34">
        <v>43922</v>
      </c>
      <c r="B43">
        <v>70.454369</v>
      </c>
      <c r="C43">
        <v>72.454384000000005</v>
      </c>
      <c r="D43">
        <v>56.584350999999998</v>
      </c>
      <c r="E43">
        <v>108.150002</v>
      </c>
      <c r="F43">
        <v>54.008674999999997</v>
      </c>
      <c r="G43">
        <v>71.389992000000007</v>
      </c>
      <c r="H43">
        <v>41.122391</v>
      </c>
      <c r="I43">
        <v>29.58</v>
      </c>
      <c r="J43" s="36">
        <v>2912.43</v>
      </c>
      <c r="K43" s="6">
        <f t="shared" si="1"/>
        <v>0.29830578283417897</v>
      </c>
      <c r="L43" s="6">
        <f t="shared" si="2"/>
        <v>0.14442379900160593</v>
      </c>
      <c r="M43" s="6">
        <f t="shared" si="3"/>
        <v>0.17915185273093226</v>
      </c>
      <c r="N43" s="6">
        <f t="shared" si="4"/>
        <v>0.11294045037736336</v>
      </c>
      <c r="O43" s="6">
        <f t="shared" si="5"/>
        <v>-0.15399809216830782</v>
      </c>
      <c r="P43" s="6">
        <f t="shared" si="6"/>
        <v>3.894384656470281E-2</v>
      </c>
      <c r="Q43" s="6">
        <f t="shared" si="7"/>
        <v>0.20201062807501846</v>
      </c>
      <c r="R43" s="6">
        <f t="shared" si="8"/>
        <v>-6.4475100008846861E-2</v>
      </c>
      <c r="S43" s="6">
        <f t="shared" si="9"/>
        <v>0.11942089623740584</v>
      </c>
    </row>
    <row r="44" spans="1:19" ht="15.75" thickBot="1" x14ac:dyDescent="0.3">
      <c r="A44" s="34">
        <v>43952</v>
      </c>
      <c r="B44">
        <v>76.302704000000006</v>
      </c>
      <c r="C44">
        <v>78.407593000000006</v>
      </c>
      <c r="D44">
        <v>55.305145000000003</v>
      </c>
      <c r="E44">
        <v>117.300003</v>
      </c>
      <c r="F44">
        <v>52.181908</v>
      </c>
      <c r="G44">
        <v>72.631705999999994</v>
      </c>
      <c r="H44">
        <v>40.237468999999997</v>
      </c>
      <c r="I44">
        <v>28.040001</v>
      </c>
      <c r="J44" s="36">
        <v>3044.31</v>
      </c>
      <c r="K44" s="6">
        <f t="shared" si="1"/>
        <v>7.9743124683108194E-2</v>
      </c>
      <c r="L44" s="6">
        <f t="shared" si="2"/>
        <v>7.89635945235235E-2</v>
      </c>
      <c r="M44" s="6">
        <f t="shared" si="3"/>
        <v>-2.2866520706213429E-2</v>
      </c>
      <c r="N44" s="6">
        <f t="shared" si="4"/>
        <v>8.1215610342975489E-2</v>
      </c>
      <c r="O44" s="6">
        <f t="shared" si="5"/>
        <v>-3.4408837035820601E-2</v>
      </c>
      <c r="P44" s="6">
        <f t="shared" si="6"/>
        <v>1.724385680479185E-2</v>
      </c>
      <c r="Q44" s="6">
        <f t="shared" si="7"/>
        <v>-2.17541401445728E-2</v>
      </c>
      <c r="R44" s="6">
        <f t="shared" si="8"/>
        <v>-5.3466359452926916E-2</v>
      </c>
      <c r="S44" s="6">
        <f t="shared" si="9"/>
        <v>4.4286490230530599E-2</v>
      </c>
    </row>
    <row r="45" spans="1:19" ht="15.75" thickBot="1" x14ac:dyDescent="0.3">
      <c r="A45" s="34">
        <v>43983</v>
      </c>
      <c r="B45">
        <v>78.008919000000006</v>
      </c>
      <c r="C45">
        <v>90.207320999999993</v>
      </c>
      <c r="D45">
        <v>56.325062000000003</v>
      </c>
      <c r="E45">
        <v>111.510002</v>
      </c>
      <c r="F45">
        <v>54.246941</v>
      </c>
      <c r="G45">
        <v>69.581389999999999</v>
      </c>
      <c r="H45">
        <v>40.341079999999998</v>
      </c>
      <c r="I45">
        <v>34.610000999999997</v>
      </c>
      <c r="J45" s="36">
        <v>3100.29</v>
      </c>
      <c r="K45" s="6">
        <f t="shared" si="1"/>
        <v>2.2114789587595371E-2</v>
      </c>
      <c r="L45" s="6">
        <f t="shared" si="2"/>
        <v>0.14018981569822564</v>
      </c>
      <c r="M45" s="6">
        <f t="shared" si="3"/>
        <v>1.8273644897043043E-2</v>
      </c>
      <c r="N45" s="6">
        <f t="shared" si="4"/>
        <v>-5.0620490321995608E-2</v>
      </c>
      <c r="O45" s="6">
        <f t="shared" si="5"/>
        <v>3.8810758959912713E-2</v>
      </c>
      <c r="P45" s="6">
        <f t="shared" si="6"/>
        <v>-4.2904401729497485E-2</v>
      </c>
      <c r="Q45" s="6">
        <f t="shared" si="7"/>
        <v>2.5716784029671466E-3</v>
      </c>
      <c r="R45" s="6">
        <f t="shared" si="8"/>
        <v>0.210510588710909</v>
      </c>
      <c r="S45" s="6">
        <f t="shared" si="9"/>
        <v>1.8221381004063585E-2</v>
      </c>
    </row>
    <row r="46" spans="1:19" ht="15.75" thickBot="1" x14ac:dyDescent="0.3">
      <c r="A46" s="34">
        <v>44013</v>
      </c>
      <c r="B46">
        <v>92.999686999999994</v>
      </c>
      <c r="C46">
        <v>105.103409</v>
      </c>
      <c r="D46">
        <v>58.609509000000003</v>
      </c>
      <c r="E46">
        <v>116.94000200000001</v>
      </c>
      <c r="F46">
        <v>48.282963000000002</v>
      </c>
      <c r="G46">
        <v>72.773726999999994</v>
      </c>
      <c r="H46">
        <v>37.959586999999999</v>
      </c>
      <c r="I46">
        <v>31.379999000000002</v>
      </c>
      <c r="J46" s="36">
        <v>3271.12</v>
      </c>
      <c r="K46" s="6">
        <f t="shared" si="1"/>
        <v>0.17577296124977962</v>
      </c>
      <c r="L46" s="6">
        <f t="shared" si="2"/>
        <v>0.15283412527755424</v>
      </c>
      <c r="M46" s="6">
        <f t="shared" si="3"/>
        <v>3.9757365970997084E-2</v>
      </c>
      <c r="N46" s="6">
        <f t="shared" si="4"/>
        <v>4.7546708937430716E-2</v>
      </c>
      <c r="O46" s="6">
        <f t="shared" si="5"/>
        <v>-0.11646783821959936</v>
      </c>
      <c r="P46" s="6">
        <f t="shared" si="6"/>
        <v>4.4857850678853305E-2</v>
      </c>
      <c r="Q46" s="6">
        <f t="shared" si="7"/>
        <v>-6.0848210793009068E-2</v>
      </c>
      <c r="R46" s="6">
        <f t="shared" si="8"/>
        <v>-9.797197110318126E-2</v>
      </c>
      <c r="S46" s="6">
        <f t="shared" si="9"/>
        <v>5.3636778409248576E-2</v>
      </c>
    </row>
    <row r="47" spans="1:19" ht="15.75" thickBot="1" x14ac:dyDescent="0.3">
      <c r="A47" s="34">
        <v>44044</v>
      </c>
      <c r="B47">
        <v>96.555824000000001</v>
      </c>
      <c r="C47">
        <v>127.635445</v>
      </c>
      <c r="D47">
        <v>62.67897</v>
      </c>
      <c r="E47">
        <v>131.86999499999999</v>
      </c>
      <c r="F47">
        <v>50.430641000000001</v>
      </c>
      <c r="G47">
        <v>77.335678000000001</v>
      </c>
      <c r="H47">
        <v>36.029136999999999</v>
      </c>
      <c r="I47">
        <v>36</v>
      </c>
      <c r="J47" s="36">
        <v>3500.31</v>
      </c>
      <c r="K47" s="6">
        <f t="shared" si="1"/>
        <v>3.7525200576248058E-2</v>
      </c>
      <c r="L47" s="6">
        <f t="shared" si="2"/>
        <v>0.19423340133570907</v>
      </c>
      <c r="M47" s="6">
        <f t="shared" si="3"/>
        <v>6.7129031635654215E-2</v>
      </c>
      <c r="N47" s="6">
        <f t="shared" si="4"/>
        <v>0.12015555105316536</v>
      </c>
      <c r="O47" s="6">
        <f t="shared" si="5"/>
        <v>4.3520181181552972E-2</v>
      </c>
      <c r="P47" s="6">
        <f t="shared" si="6"/>
        <v>6.0800404296108987E-2</v>
      </c>
      <c r="Q47" s="6">
        <f t="shared" si="7"/>
        <v>-5.219412159785175E-2</v>
      </c>
      <c r="R47" s="6">
        <f t="shared" si="8"/>
        <v>0.1373482230186554</v>
      </c>
      <c r="S47" s="6">
        <f t="shared" si="9"/>
        <v>6.7719102089653677E-2</v>
      </c>
    </row>
    <row r="48" spans="1:19" ht="15.75" thickBot="1" x14ac:dyDescent="0.3">
      <c r="A48" s="34">
        <v>44075</v>
      </c>
      <c r="B48">
        <v>81.014083999999997</v>
      </c>
      <c r="C48">
        <v>114.755989</v>
      </c>
      <c r="D48">
        <v>59.722805000000001</v>
      </c>
      <c r="E48">
        <v>124.08000199999999</v>
      </c>
      <c r="F48">
        <v>49.555655999999999</v>
      </c>
      <c r="G48">
        <v>75.231551999999994</v>
      </c>
      <c r="H48">
        <v>31.579398999999999</v>
      </c>
      <c r="I48">
        <v>34.75</v>
      </c>
      <c r="J48" s="36">
        <v>3363</v>
      </c>
      <c r="K48" s="6">
        <f t="shared" si="1"/>
        <v>-0.1754983120315681</v>
      </c>
      <c r="L48" s="6">
        <f t="shared" si="2"/>
        <v>-0.106370075168191</v>
      </c>
      <c r="M48" s="6">
        <f t="shared" si="3"/>
        <v>-4.831204392137993E-2</v>
      </c>
      <c r="N48" s="6">
        <f t="shared" si="4"/>
        <v>-6.0890015916561034E-2</v>
      </c>
      <c r="O48" s="6">
        <f t="shared" si="5"/>
        <v>-1.750254510831626E-2</v>
      </c>
      <c r="P48" s="6">
        <f t="shared" si="6"/>
        <v>-2.7584684076981676E-2</v>
      </c>
      <c r="Q48" s="6">
        <f t="shared" si="7"/>
        <v>-0.1318229945970332</v>
      </c>
      <c r="R48" s="6">
        <f t="shared" si="8"/>
        <v>-3.5339366445308849E-2</v>
      </c>
      <c r="S48" s="6">
        <f t="shared" si="9"/>
        <v>-4.0018103243589488E-2</v>
      </c>
    </row>
    <row r="49" spans="1:19" ht="15.75" thickBot="1" x14ac:dyDescent="0.3">
      <c r="A49" s="34">
        <v>44105</v>
      </c>
      <c r="B49">
        <v>75.421463000000003</v>
      </c>
      <c r="C49">
        <v>107.869255</v>
      </c>
      <c r="D49">
        <v>60.192905000000003</v>
      </c>
      <c r="E49">
        <v>121.25</v>
      </c>
      <c r="F49">
        <v>59.118904000000001</v>
      </c>
      <c r="G49">
        <v>68.70787</v>
      </c>
      <c r="H49">
        <v>30.006406999999999</v>
      </c>
      <c r="I49">
        <v>33.860000999999997</v>
      </c>
      <c r="J49" s="36">
        <v>3269.96</v>
      </c>
      <c r="K49" s="6">
        <f t="shared" si="1"/>
        <v>-7.153112642114709E-2</v>
      </c>
      <c r="L49" s="6">
        <f t="shared" si="2"/>
        <v>-6.1888147397840404E-2</v>
      </c>
      <c r="M49" s="6">
        <f t="shared" si="3"/>
        <v>7.840547468696368E-3</v>
      </c>
      <c r="N49" s="6">
        <f t="shared" si="4"/>
        <v>-2.3072005169323791E-2</v>
      </c>
      <c r="O49" s="6">
        <f t="shared" si="5"/>
        <v>0.17645433631485571</v>
      </c>
      <c r="P49" s="6">
        <f t="shared" si="6"/>
        <v>-9.0706968719106912E-2</v>
      </c>
      <c r="Q49" s="6">
        <f t="shared" si="7"/>
        <v>-5.109405208739675E-2</v>
      </c>
      <c r="R49" s="6">
        <f t="shared" si="8"/>
        <v>-2.5945165772439684E-2</v>
      </c>
      <c r="S49" s="6">
        <f t="shared" si="9"/>
        <v>-2.8055680339689231E-2</v>
      </c>
    </row>
    <row r="50" spans="1:19" ht="15.75" thickBot="1" x14ac:dyDescent="0.3">
      <c r="A50" s="34">
        <v>44136</v>
      </c>
      <c r="B50">
        <v>79.123619000000005</v>
      </c>
      <c r="C50">
        <v>117.966499</v>
      </c>
      <c r="D50">
        <v>71.099472000000006</v>
      </c>
      <c r="E50">
        <v>148.009995</v>
      </c>
      <c r="F50">
        <v>81.109215000000006</v>
      </c>
      <c r="G50">
        <v>73.440040999999994</v>
      </c>
      <c r="H50">
        <v>35.074939999999998</v>
      </c>
      <c r="I50">
        <v>45.049999</v>
      </c>
      <c r="J50" s="36">
        <v>3621.63</v>
      </c>
      <c r="K50" s="6">
        <f t="shared" si="1"/>
        <v>4.7919537235776195E-2</v>
      </c>
      <c r="L50" s="6">
        <f t="shared" si="2"/>
        <v>8.9480785474837829E-2</v>
      </c>
      <c r="M50" s="6">
        <f t="shared" si="3"/>
        <v>0.16652542239506429</v>
      </c>
      <c r="N50" s="6">
        <f t="shared" si="4"/>
        <v>0.19942527545000302</v>
      </c>
      <c r="O50" s="6">
        <f t="shared" si="5"/>
        <v>0.31624584191817329</v>
      </c>
      <c r="P50" s="6">
        <f t="shared" si="6"/>
        <v>6.6605555882927811E-2</v>
      </c>
      <c r="Q50" s="6">
        <f t="shared" si="7"/>
        <v>0.15607598984025375</v>
      </c>
      <c r="R50" s="6">
        <f t="shared" si="8"/>
        <v>0.285538555618427</v>
      </c>
      <c r="S50" s="6">
        <f t="shared" si="9"/>
        <v>0.10214644831840361</v>
      </c>
    </row>
    <row r="51" spans="1:19" ht="15.75" thickBot="1" x14ac:dyDescent="0.3">
      <c r="A51" s="34">
        <v>44166</v>
      </c>
      <c r="B51">
        <v>83.770210000000006</v>
      </c>
      <c r="C51">
        <v>131.709183</v>
      </c>
      <c r="D51">
        <v>74.486091999999999</v>
      </c>
      <c r="E51">
        <v>181.179993</v>
      </c>
      <c r="F51">
        <v>86.049071999999995</v>
      </c>
      <c r="G51">
        <v>74.728142000000005</v>
      </c>
      <c r="H51">
        <v>38.832169</v>
      </c>
      <c r="I51">
        <v>43.25</v>
      </c>
      <c r="J51" s="36">
        <v>3756.07</v>
      </c>
      <c r="K51" s="6">
        <f t="shared" si="1"/>
        <v>5.7066028111104956E-2</v>
      </c>
      <c r="L51" s="6">
        <f t="shared" si="2"/>
        <v>0.11019565559308152</v>
      </c>
      <c r="M51" s="6">
        <f t="shared" si="3"/>
        <v>4.6532512772739551E-2</v>
      </c>
      <c r="N51" s="6">
        <f t="shared" si="4"/>
        <v>0.20221116833793437</v>
      </c>
      <c r="O51" s="6">
        <f t="shared" si="5"/>
        <v>5.9121158351088443E-2</v>
      </c>
      <c r="P51" s="6">
        <f t="shared" si="6"/>
        <v>1.7387450202611402E-2</v>
      </c>
      <c r="Q51" s="6">
        <f t="shared" si="7"/>
        <v>0.10176208568857166</v>
      </c>
      <c r="R51" s="6">
        <f t="shared" si="8"/>
        <v>-4.0775728478900049E-2</v>
      </c>
      <c r="S51" s="6">
        <f t="shared" si="9"/>
        <v>3.6448997283216107E-2</v>
      </c>
    </row>
    <row r="52" spans="1:19" ht="15.75" thickBot="1" x14ac:dyDescent="0.3">
      <c r="A52" s="34">
        <v>44197</v>
      </c>
      <c r="B52">
        <v>100.97839399999999</v>
      </c>
      <c r="C52">
        <v>130.98460399999999</v>
      </c>
      <c r="D52">
        <v>74.686447000000001</v>
      </c>
      <c r="E52">
        <v>168.16999799999999</v>
      </c>
      <c r="F52">
        <v>85.171256999999997</v>
      </c>
      <c r="G52">
        <v>70.963074000000006</v>
      </c>
      <c r="H52">
        <v>42.242466</v>
      </c>
      <c r="I52">
        <v>39.990001999999997</v>
      </c>
      <c r="J52" s="36">
        <v>3714.24</v>
      </c>
      <c r="K52" s="6">
        <f t="shared" si="1"/>
        <v>0.18682911813825545</v>
      </c>
      <c r="L52" s="6">
        <f t="shared" si="2"/>
        <v>-5.5165433931376436E-3</v>
      </c>
      <c r="M52" s="6">
        <f t="shared" si="3"/>
        <v>2.686219887648447E-3</v>
      </c>
      <c r="N52" s="6">
        <f t="shared" si="4"/>
        <v>-7.451561296359914E-2</v>
      </c>
      <c r="O52" s="6">
        <f t="shared" si="5"/>
        <v>-1.0253720409798567E-2</v>
      </c>
      <c r="P52" s="6">
        <f t="shared" si="6"/>
        <v>-5.1697097550142068E-2</v>
      </c>
      <c r="Q52" s="6">
        <f t="shared" si="7"/>
        <v>8.417701732020505E-2</v>
      </c>
      <c r="R52" s="6">
        <f t="shared" si="8"/>
        <v>-7.8367760506659487E-2</v>
      </c>
      <c r="S52" s="6">
        <f t="shared" si="9"/>
        <v>-1.1199116821942242E-2</v>
      </c>
    </row>
    <row r="53" spans="1:19" ht="15.75" thickBot="1" x14ac:dyDescent="0.3">
      <c r="A53" s="34">
        <v>44228</v>
      </c>
      <c r="B53">
        <v>89.042259000000001</v>
      </c>
      <c r="C53">
        <v>120.363686</v>
      </c>
      <c r="D53">
        <v>82.738997999999995</v>
      </c>
      <c r="E53">
        <v>189.03999300000001</v>
      </c>
      <c r="F53">
        <v>100.004448</v>
      </c>
      <c r="G53">
        <v>66.865677000000005</v>
      </c>
      <c r="H53">
        <v>51.220402</v>
      </c>
      <c r="I53">
        <v>52.68</v>
      </c>
      <c r="J53" s="36">
        <v>3811.15</v>
      </c>
      <c r="K53" s="6">
        <f t="shared" si="1"/>
        <v>-0.12579549589945715</v>
      </c>
      <c r="L53" s="6">
        <f t="shared" si="2"/>
        <v>-8.4561913491583471E-2</v>
      </c>
      <c r="M53" s="6">
        <f t="shared" si="3"/>
        <v>0.1023924074534638</v>
      </c>
      <c r="N53" s="6">
        <f t="shared" si="4"/>
        <v>0.11698323520752076</v>
      </c>
      <c r="O53" s="6">
        <f t="shared" si="5"/>
        <v>0.1605506472369464</v>
      </c>
      <c r="P53" s="6">
        <f t="shared" si="6"/>
        <v>-5.9473871091425282E-2</v>
      </c>
      <c r="Q53" s="6">
        <f t="shared" si="7"/>
        <v>0.19271191086152242</v>
      </c>
      <c r="R53" s="6">
        <f t="shared" si="8"/>
        <v>0.27560640400385145</v>
      </c>
      <c r="S53" s="6">
        <f t="shared" si="9"/>
        <v>2.5756899667125591E-2</v>
      </c>
    </row>
    <row r="54" spans="1:19" ht="15.75" thickBot="1" x14ac:dyDescent="0.3">
      <c r="A54" s="34">
        <v>44256</v>
      </c>
      <c r="B54">
        <v>87.708336000000003</v>
      </c>
      <c r="C54">
        <v>121.428291</v>
      </c>
      <c r="D54">
        <v>88.164565999999994</v>
      </c>
      <c r="E54">
        <v>184.520004</v>
      </c>
      <c r="F54">
        <v>104.709602</v>
      </c>
      <c r="G54">
        <v>70.981482999999997</v>
      </c>
      <c r="H54">
        <v>53.489021000000001</v>
      </c>
      <c r="I54">
        <v>57.540000999999997</v>
      </c>
      <c r="J54" s="36">
        <v>3972.89</v>
      </c>
      <c r="K54" s="6">
        <f t="shared" si="1"/>
        <v>-1.509413109307051E-2</v>
      </c>
      <c r="L54" s="6">
        <f t="shared" si="2"/>
        <v>8.806014929412579E-3</v>
      </c>
      <c r="M54" s="6">
        <f t="shared" si="3"/>
        <v>6.3514085524306665E-2</v>
      </c>
      <c r="N54" s="6">
        <f t="shared" si="4"/>
        <v>-2.4200715481965208E-2</v>
      </c>
      <c r="O54" s="6">
        <f t="shared" si="5"/>
        <v>4.5976158319142646E-2</v>
      </c>
      <c r="P54" s="6">
        <f t="shared" si="6"/>
        <v>5.9733254057454901E-2</v>
      </c>
      <c r="Q54" s="6">
        <f t="shared" si="7"/>
        <v>4.3338488651959294E-2</v>
      </c>
      <c r="R54" s="6">
        <f t="shared" si="8"/>
        <v>8.8244498627535861E-2</v>
      </c>
      <c r="S54" s="6">
        <f t="shared" si="9"/>
        <v>4.1562808697442971E-2</v>
      </c>
    </row>
    <row r="55" spans="1:19" ht="15.75" thickBot="1" x14ac:dyDescent="0.3">
      <c r="A55" s="34">
        <v>44287</v>
      </c>
      <c r="B55">
        <v>95.703415000000007</v>
      </c>
      <c r="C55">
        <v>130.683289</v>
      </c>
      <c r="D55">
        <v>97.126198000000002</v>
      </c>
      <c r="E55">
        <v>186.020004</v>
      </c>
      <c r="F55">
        <v>104.707008</v>
      </c>
      <c r="G55">
        <v>69.199409000000003</v>
      </c>
      <c r="H55">
        <v>54.839900999999998</v>
      </c>
      <c r="I55">
        <v>54.400002000000001</v>
      </c>
      <c r="J55" s="36">
        <v>4181.17</v>
      </c>
      <c r="K55" s="6">
        <f t="shared" si="1"/>
        <v>8.7237036080410391E-2</v>
      </c>
      <c r="L55" s="6">
        <f t="shared" si="2"/>
        <v>7.3452863751702818E-2</v>
      </c>
      <c r="M55" s="6">
        <f t="shared" si="3"/>
        <v>9.6806006972633266E-2</v>
      </c>
      <c r="N55" s="6">
        <f t="shared" si="4"/>
        <v>8.0963359498984425E-3</v>
      </c>
      <c r="O55" s="6">
        <f t="shared" si="5"/>
        <v>-2.4773584102409728E-5</v>
      </c>
      <c r="P55" s="6">
        <f t="shared" si="6"/>
        <v>-2.5426718084718823E-2</v>
      </c>
      <c r="Q55" s="6">
        <f t="shared" si="7"/>
        <v>2.4941631551622958E-2</v>
      </c>
      <c r="R55" s="6">
        <f t="shared" si="8"/>
        <v>-5.6116184876013907E-2</v>
      </c>
      <c r="S55" s="6">
        <f t="shared" si="9"/>
        <v>5.1097322114293922E-2</v>
      </c>
    </row>
    <row r="56" spans="1:19" ht="15.75" thickBot="1" x14ac:dyDescent="0.3">
      <c r="A56" s="34">
        <v>44317</v>
      </c>
      <c r="B56">
        <v>92.962524000000002</v>
      </c>
      <c r="C56">
        <v>123.873756</v>
      </c>
      <c r="D56">
        <v>103.52320899999999</v>
      </c>
      <c r="E56">
        <v>178.64999399999999</v>
      </c>
      <c r="F56">
        <v>112.208885</v>
      </c>
      <c r="G56">
        <v>70.490516999999997</v>
      </c>
      <c r="H56">
        <v>55.922516000000002</v>
      </c>
      <c r="I56">
        <v>58.349997999999999</v>
      </c>
      <c r="J56" s="36">
        <v>4204.1099999999997</v>
      </c>
      <c r="K56" s="6">
        <f t="shared" si="1"/>
        <v>-2.9057538054744834E-2</v>
      </c>
      <c r="L56" s="6">
        <f t="shared" si="2"/>
        <v>-5.3513804548026025E-2</v>
      </c>
      <c r="M56" s="6">
        <f t="shared" si="3"/>
        <v>6.3784685880864556E-2</v>
      </c>
      <c r="N56" s="6">
        <f t="shared" si="4"/>
        <v>-4.0425665433189158E-2</v>
      </c>
      <c r="O56" s="6">
        <f t="shared" si="5"/>
        <v>6.9196129167697518E-2</v>
      </c>
      <c r="P56" s="6">
        <f t="shared" si="6"/>
        <v>1.848586800783163E-2</v>
      </c>
      <c r="Q56" s="6">
        <f t="shared" si="7"/>
        <v>1.9549040319488311E-2</v>
      </c>
      <c r="R56" s="6">
        <f t="shared" si="8"/>
        <v>7.0095133830041109E-2</v>
      </c>
      <c r="S56" s="6">
        <f t="shared" si="9"/>
        <v>5.4715065520221503E-3</v>
      </c>
    </row>
    <row r="57" spans="1:19" ht="15.75" thickBot="1" x14ac:dyDescent="0.3">
      <c r="A57" s="34">
        <v>44348</v>
      </c>
      <c r="B57">
        <v>103.576851</v>
      </c>
      <c r="C57">
        <v>136.38204999999999</v>
      </c>
      <c r="D57">
        <v>100.246628</v>
      </c>
      <c r="E57">
        <v>175.770004</v>
      </c>
      <c r="F57">
        <v>107.42044799999999</v>
      </c>
      <c r="G57">
        <v>75.704109000000003</v>
      </c>
      <c r="H57">
        <v>61.315444999999997</v>
      </c>
      <c r="I57">
        <v>52.290000999999997</v>
      </c>
      <c r="J57" s="36">
        <v>4297.5</v>
      </c>
      <c r="K57" s="6">
        <f t="shared" si="1"/>
        <v>0.10811741471367028</v>
      </c>
      <c r="L57" s="6">
        <f t="shared" si="2"/>
        <v>9.6197188290790089E-2</v>
      </c>
      <c r="M57" s="6">
        <f t="shared" si="3"/>
        <v>-3.2162399402185668E-2</v>
      </c>
      <c r="N57" s="6">
        <f t="shared" si="4"/>
        <v>-1.625220590237704E-2</v>
      </c>
      <c r="O57" s="6">
        <f t="shared" si="5"/>
        <v>-4.3611623887484505E-2</v>
      </c>
      <c r="P57" s="6">
        <f t="shared" si="6"/>
        <v>7.1354248890576774E-2</v>
      </c>
      <c r="Q57" s="6">
        <f t="shared" si="7"/>
        <v>9.2064679031496871E-2</v>
      </c>
      <c r="R57" s="6">
        <f t="shared" si="8"/>
        <v>-0.10965415713248877</v>
      </c>
      <c r="S57" s="6">
        <f t="shared" si="9"/>
        <v>2.1970840045862021E-2</v>
      </c>
    </row>
    <row r="58" spans="1:19" ht="15.75" thickBot="1" x14ac:dyDescent="0.3">
      <c r="A58" s="34">
        <v>44378</v>
      </c>
      <c r="B58">
        <v>113.176849</v>
      </c>
      <c r="C58">
        <v>145.24447599999999</v>
      </c>
      <c r="D58">
        <v>98.104149000000007</v>
      </c>
      <c r="E58">
        <v>176.020004</v>
      </c>
      <c r="F58">
        <v>103.42894</v>
      </c>
      <c r="G58">
        <v>75.471221999999997</v>
      </c>
      <c r="H58">
        <v>55.959575999999998</v>
      </c>
      <c r="I58">
        <v>46.720001000000003</v>
      </c>
      <c r="J58" s="36">
        <v>4395.26</v>
      </c>
      <c r="K58" s="6">
        <f t="shared" si="1"/>
        <v>8.8637771807267604E-2</v>
      </c>
      <c r="L58" s="6">
        <f t="shared" si="2"/>
        <v>6.2958225518673014E-2</v>
      </c>
      <c r="M58" s="6">
        <f t="shared" si="3"/>
        <v>-2.160377045580324E-2</v>
      </c>
      <c r="N58" s="6">
        <f t="shared" si="4"/>
        <v>1.4213026885369919E-3</v>
      </c>
      <c r="O58" s="6">
        <f t="shared" si="5"/>
        <v>-3.7865748154173463E-2</v>
      </c>
      <c r="P58" s="6">
        <f t="shared" si="6"/>
        <v>-3.0810209931273415E-3</v>
      </c>
      <c r="Q58" s="6">
        <f t="shared" si="7"/>
        <v>-9.1402195863852634E-2</v>
      </c>
      <c r="R58" s="6">
        <f t="shared" si="8"/>
        <v>-0.11263280740007352</v>
      </c>
      <c r="S58" s="6">
        <f t="shared" si="9"/>
        <v>2.249322924674322E-2</v>
      </c>
    </row>
    <row r="59" spans="1:19" ht="15.75" thickBot="1" x14ac:dyDescent="0.3">
      <c r="A59" s="34">
        <v>44409</v>
      </c>
      <c r="B59">
        <v>126.47601299999999</v>
      </c>
      <c r="C59">
        <v>151.189301</v>
      </c>
      <c r="D59">
        <v>103.582634</v>
      </c>
      <c r="E59">
        <v>181.300003</v>
      </c>
      <c r="F59">
        <v>105.23595400000001</v>
      </c>
      <c r="G59">
        <v>74.901771999999994</v>
      </c>
      <c r="H59">
        <v>52.994892</v>
      </c>
      <c r="I59">
        <v>46.509998000000003</v>
      </c>
      <c r="J59" s="36">
        <v>4522.68</v>
      </c>
      <c r="K59" s="6">
        <f t="shared" si="1"/>
        <v>0.1111010389150254</v>
      </c>
      <c r="L59" s="6">
        <f t="shared" si="2"/>
        <v>4.0114336632016516E-2</v>
      </c>
      <c r="M59" s="6">
        <f t="shared" si="3"/>
        <v>5.4340031037084756E-2</v>
      </c>
      <c r="N59" s="6">
        <f t="shared" si="4"/>
        <v>2.9555486637608867E-2</v>
      </c>
      <c r="O59" s="6">
        <f t="shared" si="5"/>
        <v>1.7320203115080403E-2</v>
      </c>
      <c r="P59" s="6">
        <f t="shared" si="6"/>
        <v>-7.5738695757365301E-3</v>
      </c>
      <c r="Q59" s="6">
        <f t="shared" si="7"/>
        <v>-5.4434041378940361E-2</v>
      </c>
      <c r="R59" s="6">
        <f t="shared" si="8"/>
        <v>-4.5050596895812962E-3</v>
      </c>
      <c r="S59" s="6">
        <f t="shared" si="9"/>
        <v>2.857805096868915E-2</v>
      </c>
    </row>
    <row r="60" spans="1:19" ht="15.75" thickBot="1" x14ac:dyDescent="0.3">
      <c r="A60" s="34">
        <v>44440</v>
      </c>
      <c r="B60">
        <v>126.292236</v>
      </c>
      <c r="C60">
        <v>141.11399800000001</v>
      </c>
      <c r="D60">
        <v>104.06435399999999</v>
      </c>
      <c r="E60">
        <v>169.16999799999999</v>
      </c>
      <c r="F60">
        <v>102.85987900000001</v>
      </c>
      <c r="G60">
        <v>73.74324</v>
      </c>
      <c r="H60">
        <v>58.039985999999999</v>
      </c>
      <c r="I60">
        <v>47.57</v>
      </c>
      <c r="J60" s="36">
        <v>4307.54</v>
      </c>
      <c r="K60" s="6">
        <f t="shared" si="1"/>
        <v>-1.4541148511279891E-3</v>
      </c>
      <c r="L60" s="6">
        <f t="shared" si="2"/>
        <v>-6.8964640484907261E-2</v>
      </c>
      <c r="M60" s="6">
        <f t="shared" si="3"/>
        <v>4.6398059402365296E-3</v>
      </c>
      <c r="N60" s="6">
        <f t="shared" si="4"/>
        <v>-6.9249019643191509E-2</v>
      </c>
      <c r="O60" s="6">
        <f t="shared" si="5"/>
        <v>-2.2837345985179773E-2</v>
      </c>
      <c r="P60" s="6">
        <f t="shared" si="6"/>
        <v>-1.5588218452418234E-2</v>
      </c>
      <c r="Q60" s="6">
        <f t="shared" si="7"/>
        <v>9.0936655253966145E-2</v>
      </c>
      <c r="R60" s="6">
        <f t="shared" si="8"/>
        <v>2.2535010209690384E-2</v>
      </c>
      <c r="S60" s="6">
        <f t="shared" si="9"/>
        <v>-4.8737762984622721E-2</v>
      </c>
    </row>
    <row r="61" spans="1:19" ht="15.75" thickBot="1" x14ac:dyDescent="0.3">
      <c r="A61" s="34">
        <v>44470</v>
      </c>
      <c r="B61">
        <v>123.39823199999999</v>
      </c>
      <c r="C61">
        <v>149.391357</v>
      </c>
      <c r="D61">
        <v>108.86200700000001</v>
      </c>
      <c r="E61">
        <v>169.070007</v>
      </c>
      <c r="F61">
        <v>104.77825900000001</v>
      </c>
      <c r="G61">
        <v>87.222510999999997</v>
      </c>
      <c r="H61">
        <v>63.615062999999999</v>
      </c>
      <c r="I61">
        <v>46.139999000000003</v>
      </c>
      <c r="J61" s="36">
        <v>4605.38</v>
      </c>
      <c r="K61" s="6">
        <f t="shared" si="1"/>
        <v>-2.3181770804787429E-2</v>
      </c>
      <c r="L61" s="6">
        <f t="shared" si="2"/>
        <v>5.7001359444770673E-2</v>
      </c>
      <c r="M61" s="6">
        <f t="shared" si="3"/>
        <v>4.5071593127806869E-2</v>
      </c>
      <c r="N61" s="6">
        <f t="shared" si="4"/>
        <v>-5.9124291292976798E-4</v>
      </c>
      <c r="O61" s="6">
        <f t="shared" si="5"/>
        <v>1.8478634085796791E-2</v>
      </c>
      <c r="P61" s="6">
        <f t="shared" si="6"/>
        <v>0.16787312126688148</v>
      </c>
      <c r="Q61" s="6">
        <f t="shared" si="7"/>
        <v>9.1718095123640708E-2</v>
      </c>
      <c r="R61" s="6">
        <f t="shared" si="8"/>
        <v>-3.0522079371751297E-2</v>
      </c>
      <c r="S61" s="6">
        <f t="shared" si="9"/>
        <v>6.6858209798173654E-2</v>
      </c>
    </row>
    <row r="62" spans="1:19" ht="15.75" thickBot="1" x14ac:dyDescent="0.3">
      <c r="A62" s="34">
        <v>44501</v>
      </c>
      <c r="B62">
        <v>121.250092</v>
      </c>
      <c r="C62">
        <v>164.84909099999999</v>
      </c>
      <c r="D62">
        <v>101.156097</v>
      </c>
      <c r="E62">
        <v>144.89999399999999</v>
      </c>
      <c r="F62">
        <v>94.906897999999998</v>
      </c>
      <c r="G62">
        <v>74.206001000000001</v>
      </c>
      <c r="H62">
        <v>59.046458999999999</v>
      </c>
      <c r="I62">
        <v>42.259998000000003</v>
      </c>
      <c r="J62" s="36">
        <v>4567</v>
      </c>
      <c r="K62" s="6">
        <f t="shared" si="1"/>
        <v>-1.7561495397858343E-2</v>
      </c>
      <c r="L62" s="6">
        <f t="shared" si="2"/>
        <v>9.8461035779169231E-2</v>
      </c>
      <c r="M62" s="6">
        <f t="shared" si="3"/>
        <v>-7.3416250746289963E-2</v>
      </c>
      <c r="N62" s="6">
        <f t="shared" si="4"/>
        <v>-0.15426906383307512</v>
      </c>
      <c r="O62" s="6">
        <f t="shared" si="5"/>
        <v>-9.8949908062367017E-2</v>
      </c>
      <c r="P62" s="6">
        <f t="shared" si="6"/>
        <v>-0.1616174283549055</v>
      </c>
      <c r="Q62" s="6">
        <f t="shared" si="7"/>
        <v>-7.452570721170905E-2</v>
      </c>
      <c r="R62" s="6">
        <f t="shared" si="8"/>
        <v>-8.7839266210605879E-2</v>
      </c>
      <c r="S62" s="6">
        <f t="shared" si="9"/>
        <v>-8.3686511009886007E-3</v>
      </c>
    </row>
    <row r="63" spans="1:19" x14ac:dyDescent="0.25">
      <c r="A63" s="34">
        <v>44531</v>
      </c>
      <c r="B63">
        <v>133.08876000000001</v>
      </c>
      <c r="C63">
        <v>177.344055</v>
      </c>
      <c r="D63">
        <v>108.239998</v>
      </c>
      <c r="E63">
        <v>154.88999899999999</v>
      </c>
      <c r="F63">
        <v>94.387360000000001</v>
      </c>
      <c r="G63">
        <v>75.919739000000007</v>
      </c>
      <c r="H63">
        <v>61.189999</v>
      </c>
      <c r="I63">
        <v>43.779998999999997</v>
      </c>
      <c r="J63" s="36">
        <v>4766.18</v>
      </c>
      <c r="K63" s="6">
        <f>LN(B63/B62)</f>
        <v>9.3160985471338525E-2</v>
      </c>
      <c r="L63" s="6">
        <f t="shared" ref="L63:S63" si="10">LN(C63/C62)</f>
        <v>7.306120397337991E-2</v>
      </c>
      <c r="M63" s="6">
        <f t="shared" si="10"/>
        <v>6.7686126771285687E-2</v>
      </c>
      <c r="N63" s="6">
        <f t="shared" si="10"/>
        <v>6.6671373184704327E-2</v>
      </c>
      <c r="O63" s="6">
        <f t="shared" si="10"/>
        <v>-5.4892241321038687E-3</v>
      </c>
      <c r="P63" s="6">
        <f t="shared" si="10"/>
        <v>2.2831693552641058E-2</v>
      </c>
      <c r="Q63" s="6">
        <f t="shared" si="10"/>
        <v>3.5659186416976331E-2</v>
      </c>
      <c r="R63" s="6">
        <f t="shared" si="10"/>
        <v>3.5336104391403569E-2</v>
      </c>
      <c r="S63" s="6">
        <f t="shared" si="10"/>
        <v>4.2688611280446646E-2</v>
      </c>
    </row>
    <row r="65" spans="1:19" x14ac:dyDescent="0.25">
      <c r="A65" s="1" t="s">
        <v>8</v>
      </c>
      <c r="K65" s="6">
        <f>STDEV(K4:K63)</f>
        <v>0.10193959229595118</v>
      </c>
      <c r="L65" s="6">
        <f t="shared" ref="L65:S65" si="11">STDEV(L4:L63)</f>
        <v>8.345609756046389E-2</v>
      </c>
      <c r="M65" s="6">
        <f t="shared" si="11"/>
        <v>9.1687132695051132E-2</v>
      </c>
      <c r="N65" s="6">
        <f t="shared" si="11"/>
        <v>7.8567532129814821E-2</v>
      </c>
      <c r="O65" s="6">
        <f t="shared" si="11"/>
        <v>0.11209006716027063</v>
      </c>
      <c r="P65" s="6">
        <f t="shared" si="11"/>
        <v>5.7683694207845637E-2</v>
      </c>
      <c r="Q65" s="6">
        <f t="shared" si="11"/>
        <v>8.7068202107315112E-2</v>
      </c>
      <c r="R65" s="6">
        <f t="shared" si="11"/>
        <v>0.13022829308644163</v>
      </c>
      <c r="S65" s="6">
        <f t="shared" si="11"/>
        <v>4.4570304198972621E-2</v>
      </c>
    </row>
    <row r="66" spans="1:19" x14ac:dyDescent="0.25">
      <c r="A66" s="1" t="s">
        <v>9</v>
      </c>
      <c r="K66" s="6">
        <f>K65*SQRT(12)</f>
        <v>0.35312910631888866</v>
      </c>
      <c r="L66" s="6">
        <f t="shared" ref="L66:S66" si="12">L65*SQRT(12)</f>
        <v>0.28910040235229695</v>
      </c>
      <c r="M66" s="6">
        <f t="shared" si="12"/>
        <v>0.31761354445627621</v>
      </c>
      <c r="N66" s="6">
        <f t="shared" si="12"/>
        <v>0.27216591494827891</v>
      </c>
      <c r="O66" s="6">
        <f t="shared" si="12"/>
        <v>0.38829138269079283</v>
      </c>
      <c r="P66" s="6">
        <f t="shared" si="12"/>
        <v>0.19982217827251039</v>
      </c>
      <c r="Q66" s="6">
        <f t="shared" si="12"/>
        <v>0.3016130995470907</v>
      </c>
      <c r="R66" s="6">
        <f t="shared" si="12"/>
        <v>0.4511240404173753</v>
      </c>
      <c r="S66" s="6">
        <f t="shared" si="12"/>
        <v>0.1543960627628421</v>
      </c>
    </row>
    <row r="67" spans="1:19" x14ac:dyDescent="0.25">
      <c r="A67" s="1" t="s">
        <v>10</v>
      </c>
      <c r="K67">
        <f>CORREL(K4:K63,$S$4:$S$63)</f>
        <v>0.39550148624960757</v>
      </c>
      <c r="L67">
        <f t="shared" ref="L67:S67" si="13">CORREL(L4:L63,$S$4:$S$63)</f>
        <v>0.62900868803433085</v>
      </c>
      <c r="M67">
        <f t="shared" si="13"/>
        <v>0.81260055663666053</v>
      </c>
      <c r="N67">
        <f t="shared" si="13"/>
        <v>0.67442913723980635</v>
      </c>
      <c r="O67">
        <f t="shared" si="13"/>
        <v>0.40949822109505546</v>
      </c>
      <c r="P67">
        <f t="shared" si="13"/>
        <v>0.39366121751892685</v>
      </c>
      <c r="Q67">
        <f t="shared" si="13"/>
        <v>0.70067559408658397</v>
      </c>
      <c r="R67">
        <f t="shared" si="13"/>
        <v>0.57962071399187864</v>
      </c>
      <c r="S67">
        <f t="shared" si="13"/>
        <v>0.99999999999999978</v>
      </c>
    </row>
    <row r="68" spans="1:19" x14ac:dyDescent="0.25">
      <c r="A68" s="1" t="s">
        <v>11</v>
      </c>
      <c r="K68">
        <f>K67*(K66/$S$66)</f>
        <v>0.90457673523478166</v>
      </c>
      <c r="L68">
        <f t="shared" ref="L68:S68" si="14">L67*(L66/$S$66)</f>
        <v>1.1777934070322666</v>
      </c>
      <c r="M68">
        <f t="shared" si="14"/>
        <v>1.671629045469591</v>
      </c>
      <c r="N68">
        <f t="shared" si="14"/>
        <v>1.1888685496248685</v>
      </c>
      <c r="O68">
        <f t="shared" si="14"/>
        <v>1.0298489976564746</v>
      </c>
      <c r="P68">
        <f t="shared" si="14"/>
        <v>0.50948347113532633</v>
      </c>
      <c r="Q68">
        <f t="shared" si="14"/>
        <v>1.3687715471998063</v>
      </c>
      <c r="R68">
        <f t="shared" si="14"/>
        <v>1.6935719326422474</v>
      </c>
      <c r="S68">
        <f t="shared" si="14"/>
        <v>0.99999999999999978</v>
      </c>
    </row>
    <row r="69" spans="1:19" x14ac:dyDescent="0.25">
      <c r="A69" s="1" t="s">
        <v>12</v>
      </c>
      <c r="J69" s="35"/>
      <c r="K69" s="9">
        <f>$U$1+K68*$U$2</f>
        <v>8.1560873908382556E-2</v>
      </c>
      <c r="L69" s="9">
        <f t="shared" ref="L69:S69" si="15">$U$1+L68*$U$2</f>
        <v>9.7134224200839198E-2</v>
      </c>
      <c r="M69" s="9">
        <f t="shared" si="15"/>
        <v>0.12528285559176669</v>
      </c>
      <c r="N69" s="9">
        <f t="shared" si="15"/>
        <v>9.776550732861751E-2</v>
      </c>
      <c r="O69" s="9">
        <f t="shared" si="15"/>
        <v>8.8701392866419065E-2</v>
      </c>
      <c r="P69" s="9">
        <f t="shared" si="15"/>
        <v>5.9040557854713599E-2</v>
      </c>
      <c r="Q69" s="9">
        <f t="shared" si="15"/>
        <v>0.10801997819038896</v>
      </c>
      <c r="R69" s="9">
        <f t="shared" si="15"/>
        <v>0.12653360016060811</v>
      </c>
      <c r="S69" s="9">
        <f t="shared" si="15"/>
        <v>8.6999999999999994E-2</v>
      </c>
    </row>
  </sheetData>
  <mergeCells count="2">
    <mergeCell ref="B1:J1"/>
    <mergeCell ref="K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C9" sqref="C9"/>
    </sheetView>
  </sheetViews>
  <sheetFormatPr defaultRowHeight="15" x14ac:dyDescent="0.25"/>
  <cols>
    <col min="11" max="11" width="9.5703125" customWidth="1"/>
    <col min="12" max="12" width="10" customWidth="1"/>
  </cols>
  <sheetData>
    <row r="1" spans="1:12" x14ac:dyDescent="0.25">
      <c r="C1" s="33" t="s">
        <v>17</v>
      </c>
      <c r="D1" s="33"/>
      <c r="E1" s="33"/>
      <c r="F1" s="33"/>
      <c r="G1" s="33"/>
      <c r="H1" s="33"/>
    </row>
    <row r="2" spans="1:12" x14ac:dyDescent="0.25">
      <c r="A2" s="12"/>
      <c r="B2" s="20" t="str">
        <f>Returns!B2</f>
        <v>PZZA</v>
      </c>
      <c r="C2" s="20" t="str">
        <f>Returns!C2</f>
        <v>AAPL</v>
      </c>
      <c r="D2" s="20" t="str">
        <f>Returns!D2</f>
        <v>PRU</v>
      </c>
      <c r="E2" s="20" t="str">
        <f>Returns!E2</f>
        <v>DIS</v>
      </c>
      <c r="F2" s="20" t="str">
        <f>Returns!F2</f>
        <v>GE</v>
      </c>
      <c r="G2" s="20" t="str">
        <f>Returns!G2</f>
        <v>MRK</v>
      </c>
      <c r="H2" s="20" t="str">
        <f>Returns!H2</f>
        <v>XOM</v>
      </c>
      <c r="I2" s="20" t="str">
        <f>Returns!I2</f>
        <v>UAL</v>
      </c>
      <c r="J2" s="12"/>
      <c r="K2" s="12" t="s">
        <v>15</v>
      </c>
      <c r="L2" s="12" t="s">
        <v>42</v>
      </c>
    </row>
    <row r="3" spans="1:12" x14ac:dyDescent="0.25">
      <c r="A3" s="21" t="str">
        <f>B2</f>
        <v>PZZA</v>
      </c>
      <c r="B3" s="11">
        <f>CORREL(PZZA,PZZA)</f>
        <v>1</v>
      </c>
      <c r="C3" s="11">
        <f>B4</f>
        <v>0.44916146929323492</v>
      </c>
      <c r="D3" s="11">
        <f>B5</f>
        <v>0.22860337716369211</v>
      </c>
      <c r="E3" s="11">
        <f>B6</f>
        <v>0.1805775304977642</v>
      </c>
      <c r="F3" s="11">
        <f>B7</f>
        <v>2.0605213710941636E-2</v>
      </c>
      <c r="G3" s="11">
        <f>B8</f>
        <v>0.22508097596181445</v>
      </c>
      <c r="H3" s="11">
        <f>B9</f>
        <v>0.31600332783331181</v>
      </c>
      <c r="I3" s="11">
        <f>B10</f>
        <v>-8.2898176040849925E-2</v>
      </c>
      <c r="J3" s="11"/>
      <c r="K3" s="9">
        <f>Returns!K66</f>
        <v>0.35312910631888866</v>
      </c>
      <c r="L3" s="9">
        <f>Returns!K69</f>
        <v>8.1560873908382556E-2</v>
      </c>
    </row>
    <row r="4" spans="1:12" x14ac:dyDescent="0.25">
      <c r="A4" s="21" t="str">
        <f>C2</f>
        <v>AAPL</v>
      </c>
      <c r="B4" s="11">
        <f>CORREL(PZZA,AAPL)</f>
        <v>0.44916146929323492</v>
      </c>
      <c r="C4" s="11">
        <f>CORREL(AAPL,AAPL)</f>
        <v>1.0000000000000002</v>
      </c>
      <c r="D4" s="11">
        <f>C5</f>
        <v>0.34805747815161175</v>
      </c>
      <c r="E4" s="11">
        <f>C6</f>
        <v>0.3294489291580967</v>
      </c>
      <c r="F4" s="11">
        <f>C7</f>
        <v>0.23465307739941102</v>
      </c>
      <c r="G4" s="11">
        <f>C8</f>
        <v>0.14314916165267644</v>
      </c>
      <c r="H4" s="11">
        <f>C9</f>
        <v>0.25183164868653907</v>
      </c>
      <c r="I4" s="11">
        <f>C10</f>
        <v>0.20258279027132275</v>
      </c>
      <c r="J4" s="11"/>
      <c r="K4" s="9">
        <f>Returns!L66</f>
        <v>0.28910040235229695</v>
      </c>
      <c r="L4" s="9">
        <f>Returns!L69</f>
        <v>9.7134224200839198E-2</v>
      </c>
    </row>
    <row r="5" spans="1:12" x14ac:dyDescent="0.25">
      <c r="A5" s="21" t="str">
        <f>D2</f>
        <v>PRU</v>
      </c>
      <c r="B5" s="11">
        <f>CORREL(PZZA,PRU)</f>
        <v>0.22860337716369211</v>
      </c>
      <c r="C5" s="11">
        <f>CORREL(AAPL,PRU)</f>
        <v>0.34805747815161175</v>
      </c>
      <c r="D5" s="11">
        <f>CORREL(PRU,PRU)</f>
        <v>1</v>
      </c>
      <c r="E5" s="11">
        <f>D6</f>
        <v>0.663598596846246</v>
      </c>
      <c r="F5" s="11">
        <f>D7</f>
        <v>0.57042082075697864</v>
      </c>
      <c r="G5" s="11">
        <f>D8</f>
        <v>0.20156952101796266</v>
      </c>
      <c r="H5" s="11">
        <f>D9</f>
        <v>0.74780122785311409</v>
      </c>
      <c r="I5" s="11">
        <f>D10</f>
        <v>0.69131529891403143</v>
      </c>
      <c r="J5" s="11"/>
      <c r="K5" s="9">
        <f>Returns!M66</f>
        <v>0.31761354445627621</v>
      </c>
      <c r="L5" s="9">
        <f>Returns!M69</f>
        <v>0.12528285559176669</v>
      </c>
    </row>
    <row r="6" spans="1:12" x14ac:dyDescent="0.25">
      <c r="A6" s="21" t="str">
        <f>E2</f>
        <v>DIS</v>
      </c>
      <c r="B6" s="11">
        <f>CORREL(PZZA,DIS)</f>
        <v>0.1805775304977642</v>
      </c>
      <c r="C6" s="11">
        <f>CORREL(AAPL,DIS)</f>
        <v>0.3294489291580967</v>
      </c>
      <c r="D6" s="11">
        <f>CORREL(PRU,DIS)</f>
        <v>0.663598596846246</v>
      </c>
      <c r="E6" s="11">
        <f>CORREL(DIS,DIS)</f>
        <v>1</v>
      </c>
      <c r="F6" s="11">
        <f>E7</f>
        <v>0.40134117625077437</v>
      </c>
      <c r="G6" s="11">
        <f>E8</f>
        <v>0.31286951545745573</v>
      </c>
      <c r="H6" s="11">
        <f>E9</f>
        <v>0.52606283830938894</v>
      </c>
      <c r="I6" s="11">
        <f>E10</f>
        <v>0.54062686217472711</v>
      </c>
      <c r="J6" s="11"/>
      <c r="K6" s="9">
        <f>Returns!N66</f>
        <v>0.27216591494827891</v>
      </c>
      <c r="L6" s="9">
        <f>Returns!N69</f>
        <v>9.776550732861751E-2</v>
      </c>
    </row>
    <row r="7" spans="1:12" x14ac:dyDescent="0.25">
      <c r="A7" s="21" t="str">
        <f>F2</f>
        <v>GE</v>
      </c>
      <c r="B7" s="11">
        <f>CORREL(PZZA,GE)</f>
        <v>2.0605213710941636E-2</v>
      </c>
      <c r="C7" s="11">
        <f>CORREL(AAPL,GE)</f>
        <v>0.23465307739941102</v>
      </c>
      <c r="D7" s="11">
        <f>CORREL(PRU,GE)</f>
        <v>0.57042082075697864</v>
      </c>
      <c r="E7" s="11">
        <f>CORREL(DIS,GE)</f>
        <v>0.40134117625077437</v>
      </c>
      <c r="F7" s="11">
        <f>CORREL(GE,GE)</f>
        <v>1</v>
      </c>
      <c r="G7" s="11">
        <f>F8</f>
        <v>3.2933106664318292E-2</v>
      </c>
      <c r="H7" s="11">
        <f>F9</f>
        <v>0.42275380969585391</v>
      </c>
      <c r="I7" s="11">
        <f>F10</f>
        <v>0.5029245885145075</v>
      </c>
      <c r="J7" s="11"/>
      <c r="K7" s="9">
        <f>Returns!O66</f>
        <v>0.38829138269079283</v>
      </c>
      <c r="L7" s="9">
        <f>Returns!O69</f>
        <v>8.8701392866419065E-2</v>
      </c>
    </row>
    <row r="8" spans="1:12" x14ac:dyDescent="0.25">
      <c r="A8" s="21" t="str">
        <f>G2</f>
        <v>MRK</v>
      </c>
      <c r="B8" s="11">
        <f>CORREL(PZZA,MRK)</f>
        <v>0.22508097596181445</v>
      </c>
      <c r="C8" s="11">
        <f>CORREL(AAPL,MRK)</f>
        <v>0.14314916165267644</v>
      </c>
      <c r="D8" s="11">
        <f>CORREL(PRU,MRK)</f>
        <v>0.20156952101796266</v>
      </c>
      <c r="E8" s="11">
        <f>CORREL(DIS,MRK)</f>
        <v>0.31286951545745573</v>
      </c>
      <c r="F8" s="11">
        <f>CORREL(GE,MRK)</f>
        <v>3.2933106664318292E-2</v>
      </c>
      <c r="G8" s="11">
        <f>CORREL(MRK,MRK)</f>
        <v>0.99999999999999989</v>
      </c>
      <c r="H8" s="11">
        <f>G9</f>
        <v>0.29848311477443956</v>
      </c>
      <c r="I8" s="11">
        <f>G10</f>
        <v>0.17630813530064315</v>
      </c>
      <c r="J8" s="11"/>
      <c r="K8" s="9">
        <f>Returns!P66</f>
        <v>0.19982217827251039</v>
      </c>
      <c r="L8" s="9">
        <f>Returns!P69</f>
        <v>5.9040557854713599E-2</v>
      </c>
    </row>
    <row r="9" spans="1:12" x14ac:dyDescent="0.25">
      <c r="A9" s="21" t="str">
        <f>H2</f>
        <v>XOM</v>
      </c>
      <c r="B9" s="11">
        <f>CORREL(PZZA,XOM)</f>
        <v>0.31600332783331181</v>
      </c>
      <c r="C9" s="11">
        <f>CORREL(AAPL,XOM)</f>
        <v>0.25183164868653907</v>
      </c>
      <c r="D9" s="11">
        <f>CORREL(PRU,XOM)</f>
        <v>0.74780122785311409</v>
      </c>
      <c r="E9" s="11">
        <f>CORREL(DIS,XOM)</f>
        <v>0.52606283830938894</v>
      </c>
      <c r="F9" s="11">
        <f>CORREL(GE,XOM)</f>
        <v>0.42275380969585391</v>
      </c>
      <c r="G9" s="11">
        <f>CORREL(MRK,XOM)</f>
        <v>0.29848311477443956</v>
      </c>
      <c r="H9" s="11">
        <f>CORREL(XOM,XOM)</f>
        <v>1.0000000000000002</v>
      </c>
      <c r="I9" s="11">
        <f>H10</f>
        <v>0.59003192469295584</v>
      </c>
      <c r="J9" s="11"/>
      <c r="K9" s="9">
        <f>Returns!Q66</f>
        <v>0.3016130995470907</v>
      </c>
      <c r="L9" s="9">
        <f>Returns!Q69</f>
        <v>0.10801997819038896</v>
      </c>
    </row>
    <row r="10" spans="1:12" x14ac:dyDescent="0.25">
      <c r="A10" s="21" t="str">
        <f>I2</f>
        <v>UAL</v>
      </c>
      <c r="B10" s="11">
        <f>CORREL(PZZA,UAL)</f>
        <v>-8.2898176040849925E-2</v>
      </c>
      <c r="C10" s="11">
        <f>CORREL(AAPL,UAL)</f>
        <v>0.20258279027132275</v>
      </c>
      <c r="D10" s="11">
        <f>CORREL(PRU,UAL)</f>
        <v>0.69131529891403143</v>
      </c>
      <c r="E10" s="11">
        <f>CORREL(DIS,UAL)</f>
        <v>0.54062686217472711</v>
      </c>
      <c r="F10" s="11">
        <f>CORREL(GE,UAL)</f>
        <v>0.5029245885145075</v>
      </c>
      <c r="G10" s="11">
        <f>CORREL(MRK,UAL)</f>
        <v>0.17630813530064315</v>
      </c>
      <c r="H10" s="11">
        <f>CORREL(XOM,UAL)</f>
        <v>0.59003192469295584</v>
      </c>
      <c r="I10" s="11">
        <f>CORREL(UAL,UAL)</f>
        <v>1.0000000000000002</v>
      </c>
      <c r="J10" s="11"/>
      <c r="K10" s="9">
        <f>Returns!R66</f>
        <v>0.4511240404173753</v>
      </c>
      <c r="L10" s="9">
        <f>Returns!R69</f>
        <v>0.12653360016060811</v>
      </c>
    </row>
    <row r="11" spans="1:12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3" spans="1:12" x14ac:dyDescent="0.25">
      <c r="C13" s="33" t="s">
        <v>16</v>
      </c>
      <c r="D13" s="33"/>
      <c r="E13" s="33"/>
      <c r="F13" s="33"/>
      <c r="G13" s="33"/>
      <c r="H13" s="33"/>
    </row>
    <row r="14" spans="1:12" x14ac:dyDescent="0.25">
      <c r="B14" s="20" t="str">
        <f>B2</f>
        <v>PZZA</v>
      </c>
      <c r="C14" s="20" t="str">
        <f t="shared" ref="C14:I14" si="0">C2</f>
        <v>AAPL</v>
      </c>
      <c r="D14" s="20" t="str">
        <f t="shared" si="0"/>
        <v>PRU</v>
      </c>
      <c r="E14" s="20" t="str">
        <f t="shared" si="0"/>
        <v>DIS</v>
      </c>
      <c r="F14" s="20" t="str">
        <f t="shared" si="0"/>
        <v>GE</v>
      </c>
      <c r="G14" s="20" t="str">
        <f t="shared" si="0"/>
        <v>MRK</v>
      </c>
      <c r="H14" s="20" t="str">
        <f t="shared" si="0"/>
        <v>XOM</v>
      </c>
      <c r="I14" s="20" t="str">
        <f t="shared" si="0"/>
        <v>UAL</v>
      </c>
    </row>
    <row r="15" spans="1:12" x14ac:dyDescent="0.25">
      <c r="A15" s="21" t="str">
        <f>A3</f>
        <v>PZZA</v>
      </c>
      <c r="B15">
        <f>B3*$K$3*K3</f>
        <v>0.12470016572957697</v>
      </c>
      <c r="C15">
        <f>C3*$K$4*K3</f>
        <v>4.5854789619353541E-2</v>
      </c>
      <c r="D15">
        <f>D3*$K$5*K3</f>
        <v>2.5639831790938542E-2</v>
      </c>
      <c r="E15">
        <f>E3*$K$6*K3</f>
        <v>1.7355253423435447E-2</v>
      </c>
      <c r="F15">
        <f>F3*$K$7*K3</f>
        <v>2.82532486094069E-3</v>
      </c>
      <c r="G15">
        <f>G3*$K$8*K3</f>
        <v>1.588239503711366E-2</v>
      </c>
      <c r="H15">
        <f>H3*$K$9*K3</f>
        <v>3.3656997559977087E-2</v>
      </c>
      <c r="I15">
        <f>I3*$K$10*K3</f>
        <v>-1.3206096357430103E-2</v>
      </c>
    </row>
    <row r="16" spans="1:12" x14ac:dyDescent="0.25">
      <c r="A16" s="21" t="str">
        <f t="shared" ref="A16:A22" si="1">A4</f>
        <v>AAPL</v>
      </c>
      <c r="B16">
        <f t="shared" ref="B16:B22" si="2">B4*$K$3*K4</f>
        <v>4.5854789619353548E-2</v>
      </c>
      <c r="C16">
        <f t="shared" ref="C16:C22" si="3">C4*$K$4*K4</f>
        <v>8.3579042640260004E-2</v>
      </c>
      <c r="D16">
        <f t="shared" ref="D16:D22" si="4">D4*$K$5*K4</f>
        <v>3.1959404586741118E-2</v>
      </c>
      <c r="E16">
        <f t="shared" ref="E16:E22" si="5">E4*$K$6*K4</f>
        <v>2.592212086209891E-2</v>
      </c>
      <c r="F16">
        <f t="shared" ref="F16:F22" si="6">F4*$K$7*K4</f>
        <v>2.6341026952804741E-2</v>
      </c>
      <c r="G16">
        <f t="shared" ref="G16:G22" si="7">G4*$K$8*K4</f>
        <v>8.2695369862707604E-3</v>
      </c>
      <c r="H16">
        <f t="shared" ref="H16:H22" si="8">H4*$K$9*K4</f>
        <v>2.1958830405324418E-2</v>
      </c>
      <c r="I16">
        <f t="shared" ref="I16:I22" si="9">I4*$K$10*K4</f>
        <v>2.6420876191988699E-2</v>
      </c>
    </row>
    <row r="17" spans="1:9" x14ac:dyDescent="0.25">
      <c r="A17" s="21" t="str">
        <f t="shared" si="1"/>
        <v>PRU</v>
      </c>
      <c r="B17">
        <f t="shared" si="2"/>
        <v>2.5639831790938546E-2</v>
      </c>
      <c r="C17">
        <f t="shared" si="3"/>
        <v>3.1959404586741118E-2</v>
      </c>
      <c r="D17">
        <f t="shared" si="4"/>
        <v>0.10087836362207894</v>
      </c>
      <c r="E17">
        <f t="shared" si="5"/>
        <v>5.7363839009461244E-2</v>
      </c>
      <c r="F17">
        <f t="shared" si="6"/>
        <v>7.0348061726954708E-2</v>
      </c>
      <c r="G17">
        <f t="shared" si="7"/>
        <v>1.27928576428112E-2</v>
      </c>
      <c r="H17">
        <f t="shared" si="8"/>
        <v>7.1636669732787789E-2</v>
      </c>
      <c r="I17">
        <f t="shared" si="9"/>
        <v>9.9053802884834299E-2</v>
      </c>
    </row>
    <row r="18" spans="1:9" x14ac:dyDescent="0.25">
      <c r="A18" s="21" t="str">
        <f t="shared" si="1"/>
        <v>DIS</v>
      </c>
      <c r="B18">
        <f t="shared" si="2"/>
        <v>1.7355253423435447E-2</v>
      </c>
      <c r="C18">
        <f t="shared" si="3"/>
        <v>2.5922120862098906E-2</v>
      </c>
      <c r="D18">
        <f t="shared" si="4"/>
        <v>5.7363839009461244E-2</v>
      </c>
      <c r="E18">
        <f t="shared" si="5"/>
        <v>7.407428525963379E-2</v>
      </c>
      <c r="F18">
        <f t="shared" si="6"/>
        <v>4.2413606850878555E-2</v>
      </c>
      <c r="G18">
        <f t="shared" si="7"/>
        <v>1.7015341636723701E-2</v>
      </c>
      <c r="H18">
        <f t="shared" si="8"/>
        <v>4.3183869856212698E-2</v>
      </c>
      <c r="I18">
        <f t="shared" si="9"/>
        <v>6.6378483602210117E-2</v>
      </c>
    </row>
    <row r="19" spans="1:9" x14ac:dyDescent="0.25">
      <c r="A19" s="21" t="str">
        <f t="shared" si="1"/>
        <v>GE</v>
      </c>
      <c r="B19">
        <f t="shared" si="2"/>
        <v>2.8253248609406904E-3</v>
      </c>
      <c r="C19">
        <f t="shared" si="3"/>
        <v>2.6341026952804738E-2</v>
      </c>
      <c r="D19">
        <f t="shared" si="4"/>
        <v>7.0348061726954708E-2</v>
      </c>
      <c r="E19">
        <f t="shared" si="5"/>
        <v>4.2413606850878555E-2</v>
      </c>
      <c r="F19">
        <f t="shared" si="6"/>
        <v>0.15077019787192772</v>
      </c>
      <c r="G19">
        <f t="shared" si="7"/>
        <v>2.5552543840921664E-3</v>
      </c>
      <c r="H19">
        <f t="shared" si="8"/>
        <v>4.9510291361885665E-2</v>
      </c>
      <c r="I19">
        <f t="shared" si="9"/>
        <v>8.809608179439278E-2</v>
      </c>
    </row>
    <row r="20" spans="1:9" x14ac:dyDescent="0.25">
      <c r="A20" s="21" t="str">
        <f t="shared" si="1"/>
        <v>MRK</v>
      </c>
      <c r="B20">
        <f t="shared" si="2"/>
        <v>1.588239503711366E-2</v>
      </c>
      <c r="C20">
        <f t="shared" si="3"/>
        <v>8.2695369862707604E-3</v>
      </c>
      <c r="D20">
        <f t="shared" si="4"/>
        <v>1.2792857642811201E-2</v>
      </c>
      <c r="E20">
        <f t="shared" si="5"/>
        <v>1.7015341636723701E-2</v>
      </c>
      <c r="F20">
        <f t="shared" si="6"/>
        <v>2.5552543840921664E-3</v>
      </c>
      <c r="G20">
        <f t="shared" si="7"/>
        <v>3.9928902929570916E-2</v>
      </c>
      <c r="H20">
        <f t="shared" si="8"/>
        <v>1.7989274828854273E-2</v>
      </c>
      <c r="I20">
        <f t="shared" si="9"/>
        <v>1.5893224293060487E-2</v>
      </c>
    </row>
    <row r="21" spans="1:9" x14ac:dyDescent="0.25">
      <c r="A21" s="21" t="str">
        <f t="shared" si="1"/>
        <v>XOM</v>
      </c>
      <c r="B21">
        <f t="shared" si="2"/>
        <v>3.365699755997708E-2</v>
      </c>
      <c r="C21">
        <f t="shared" si="3"/>
        <v>2.1958830405324418E-2</v>
      </c>
      <c r="D21">
        <f t="shared" si="4"/>
        <v>7.1636669732787789E-2</v>
      </c>
      <c r="E21">
        <f t="shared" si="5"/>
        <v>4.3183869856212698E-2</v>
      </c>
      <c r="F21">
        <f t="shared" si="6"/>
        <v>4.9510291361885665E-2</v>
      </c>
      <c r="G21">
        <f t="shared" si="7"/>
        <v>1.7989274828854276E-2</v>
      </c>
      <c r="H21">
        <f t="shared" si="8"/>
        <v>9.0970461818403264E-2</v>
      </c>
      <c r="I21">
        <f t="shared" si="9"/>
        <v>8.0282646695986629E-2</v>
      </c>
    </row>
    <row r="22" spans="1:9" x14ac:dyDescent="0.25">
      <c r="A22" s="21" t="str">
        <f t="shared" si="1"/>
        <v>UAL</v>
      </c>
      <c r="B22">
        <f t="shared" si="2"/>
        <v>-1.3206096357430103E-2</v>
      </c>
      <c r="C22">
        <f t="shared" si="3"/>
        <v>2.6420876191988699E-2</v>
      </c>
      <c r="D22">
        <f t="shared" si="4"/>
        <v>9.9053802884834299E-2</v>
      </c>
      <c r="E22">
        <f t="shared" si="5"/>
        <v>6.6378483602210117E-2</v>
      </c>
      <c r="F22">
        <f t="shared" si="6"/>
        <v>8.8096081794392767E-2</v>
      </c>
      <c r="G22">
        <f t="shared" si="7"/>
        <v>1.5893224293060487E-2</v>
      </c>
      <c r="H22">
        <f t="shared" si="8"/>
        <v>8.0282646695986615E-2</v>
      </c>
      <c r="I22">
        <f t="shared" si="9"/>
        <v>0.20351289984249771</v>
      </c>
    </row>
  </sheetData>
  <mergeCells count="2">
    <mergeCell ref="C13:H13"/>
    <mergeCell ref="C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B23" sqref="B23"/>
    </sheetView>
  </sheetViews>
  <sheetFormatPr defaultRowHeight="15" x14ac:dyDescent="0.25"/>
  <cols>
    <col min="1" max="1" width="9.7109375" customWidth="1"/>
    <col min="3" max="3" width="9.140625" customWidth="1"/>
    <col min="4" max="4" width="9.28515625" bestFit="1" customWidth="1"/>
    <col min="5" max="5" width="9.5703125" customWidth="1"/>
    <col min="6" max="6" width="10.28515625" customWidth="1"/>
    <col min="7" max="7" width="10.42578125" customWidth="1"/>
    <col min="8" max="8" width="10.140625" customWidth="1"/>
    <col min="9" max="9" width="9.5703125" customWidth="1"/>
    <col min="10" max="10" width="9.28515625" bestFit="1" customWidth="1"/>
    <col min="12" max="12" width="14.85546875" customWidth="1"/>
    <col min="13" max="13" width="11.85546875" customWidth="1"/>
  </cols>
  <sheetData>
    <row r="1" spans="1:13" x14ac:dyDescent="0.25">
      <c r="D1" s="33" t="s">
        <v>16</v>
      </c>
      <c r="E1" s="33"/>
      <c r="F1" s="33"/>
      <c r="G1" s="33"/>
      <c r="H1" s="33"/>
      <c r="I1" s="33"/>
    </row>
    <row r="2" spans="1:13" x14ac:dyDescent="0.25">
      <c r="C2" s="4" t="str">
        <f>'Correlation Matrix'!B14</f>
        <v>PZZA</v>
      </c>
      <c r="D2" s="4" t="str">
        <f>'Correlation Matrix'!C14</f>
        <v>AAPL</v>
      </c>
      <c r="E2" s="4" t="str">
        <f>'Correlation Matrix'!D14</f>
        <v>PRU</v>
      </c>
      <c r="F2" s="4" t="str">
        <f>'Correlation Matrix'!E14</f>
        <v>DIS</v>
      </c>
      <c r="G2" s="4" t="str">
        <f>'Correlation Matrix'!F14</f>
        <v>GE</v>
      </c>
      <c r="H2" s="4" t="str">
        <f>'Correlation Matrix'!G14</f>
        <v>MRK</v>
      </c>
      <c r="I2" s="4" t="str">
        <f>'Correlation Matrix'!H14</f>
        <v>XOM</v>
      </c>
      <c r="J2" s="4" t="str">
        <f>'Correlation Matrix'!I14</f>
        <v>UAL</v>
      </c>
    </row>
    <row r="3" spans="1:13" x14ac:dyDescent="0.25">
      <c r="B3" s="1" t="str">
        <f>'Correlation Matrix'!A15</f>
        <v>PZZA</v>
      </c>
      <c r="C3" s="14">
        <f>'Correlation Matrix'!B15</f>
        <v>0.12470016572957697</v>
      </c>
      <c r="D3" s="14">
        <f>'Correlation Matrix'!C15</f>
        <v>4.5854789619353541E-2</v>
      </c>
      <c r="E3" s="14">
        <f>'Correlation Matrix'!D15</f>
        <v>2.5639831790938542E-2</v>
      </c>
      <c r="F3" s="14">
        <f>'Correlation Matrix'!E15</f>
        <v>1.7355253423435447E-2</v>
      </c>
      <c r="G3" s="14">
        <f>'Correlation Matrix'!F15</f>
        <v>2.82532486094069E-3</v>
      </c>
      <c r="H3" s="14">
        <f>'Correlation Matrix'!G15</f>
        <v>1.588239503711366E-2</v>
      </c>
      <c r="I3" s="14">
        <f>'Correlation Matrix'!H15</f>
        <v>3.3656997559977087E-2</v>
      </c>
      <c r="J3" s="14">
        <f>'Correlation Matrix'!I15</f>
        <v>-1.3206096357430103E-2</v>
      </c>
    </row>
    <row r="4" spans="1:13" x14ac:dyDescent="0.25">
      <c r="B4" s="1" t="str">
        <f>'Correlation Matrix'!A16</f>
        <v>AAPL</v>
      </c>
      <c r="C4" s="14">
        <f>'Correlation Matrix'!B16</f>
        <v>4.5854789619353548E-2</v>
      </c>
      <c r="D4" s="14">
        <f>'Correlation Matrix'!C16</f>
        <v>8.3579042640260004E-2</v>
      </c>
      <c r="E4" s="14">
        <f>'Correlation Matrix'!D16</f>
        <v>3.1959404586741118E-2</v>
      </c>
      <c r="F4" s="14">
        <f>'Correlation Matrix'!E16</f>
        <v>2.592212086209891E-2</v>
      </c>
      <c r="G4" s="14">
        <f>'Correlation Matrix'!F16</f>
        <v>2.6341026952804741E-2</v>
      </c>
      <c r="H4" s="14">
        <f>'Correlation Matrix'!G16</f>
        <v>8.2695369862707604E-3</v>
      </c>
      <c r="I4" s="14">
        <f>'Correlation Matrix'!H16</f>
        <v>2.1958830405324418E-2</v>
      </c>
      <c r="J4" s="14">
        <f>'Correlation Matrix'!I16</f>
        <v>2.6420876191988699E-2</v>
      </c>
    </row>
    <row r="5" spans="1:13" x14ac:dyDescent="0.25">
      <c r="B5" s="1" t="str">
        <f>'Correlation Matrix'!A17</f>
        <v>PRU</v>
      </c>
      <c r="C5" s="14">
        <f>'Correlation Matrix'!B17</f>
        <v>2.5639831790938546E-2</v>
      </c>
      <c r="D5" s="14">
        <f>'Correlation Matrix'!C17</f>
        <v>3.1959404586741118E-2</v>
      </c>
      <c r="E5" s="14">
        <f>'Correlation Matrix'!D17</f>
        <v>0.10087836362207894</v>
      </c>
      <c r="F5" s="14">
        <f>'Correlation Matrix'!E17</f>
        <v>5.7363839009461244E-2</v>
      </c>
      <c r="G5" s="14">
        <f>'Correlation Matrix'!F17</f>
        <v>7.0348061726954708E-2</v>
      </c>
      <c r="H5" s="14">
        <f>'Correlation Matrix'!G17</f>
        <v>1.27928576428112E-2</v>
      </c>
      <c r="I5" s="14">
        <f>'Correlation Matrix'!H17</f>
        <v>7.1636669732787789E-2</v>
      </c>
      <c r="J5" s="14">
        <f>'Correlation Matrix'!I17</f>
        <v>9.9053802884834299E-2</v>
      </c>
    </row>
    <row r="6" spans="1:13" x14ac:dyDescent="0.25">
      <c r="B6" s="1" t="str">
        <f>'Correlation Matrix'!A18</f>
        <v>DIS</v>
      </c>
      <c r="C6" s="14">
        <f>'Correlation Matrix'!B18</f>
        <v>1.7355253423435447E-2</v>
      </c>
      <c r="D6" s="14">
        <f>'Correlation Matrix'!C18</f>
        <v>2.5922120862098906E-2</v>
      </c>
      <c r="E6" s="14">
        <f>'Correlation Matrix'!D18</f>
        <v>5.7363839009461244E-2</v>
      </c>
      <c r="F6" s="14">
        <f>'Correlation Matrix'!E18</f>
        <v>7.407428525963379E-2</v>
      </c>
      <c r="G6" s="14">
        <f>'Correlation Matrix'!F18</f>
        <v>4.2413606850878555E-2</v>
      </c>
      <c r="H6" s="14">
        <f>'Correlation Matrix'!G18</f>
        <v>1.7015341636723701E-2</v>
      </c>
      <c r="I6" s="14">
        <f>'Correlation Matrix'!H18</f>
        <v>4.3183869856212698E-2</v>
      </c>
      <c r="J6" s="14">
        <f>'Correlation Matrix'!I18</f>
        <v>6.6378483602210117E-2</v>
      </c>
    </row>
    <row r="7" spans="1:13" x14ac:dyDescent="0.25">
      <c r="B7" s="1" t="str">
        <f>'Correlation Matrix'!A19</f>
        <v>GE</v>
      </c>
      <c r="C7" s="14">
        <f>'Correlation Matrix'!B19</f>
        <v>2.8253248609406904E-3</v>
      </c>
      <c r="D7" s="14">
        <f>'Correlation Matrix'!C19</f>
        <v>2.6341026952804738E-2</v>
      </c>
      <c r="E7" s="14">
        <f>'Correlation Matrix'!D19</f>
        <v>7.0348061726954708E-2</v>
      </c>
      <c r="F7" s="14">
        <f>'Correlation Matrix'!E19</f>
        <v>4.2413606850878555E-2</v>
      </c>
      <c r="G7" s="14">
        <f>'Correlation Matrix'!F19</f>
        <v>0.15077019787192772</v>
      </c>
      <c r="H7" s="14">
        <f>'Correlation Matrix'!G19</f>
        <v>2.5552543840921664E-3</v>
      </c>
      <c r="I7" s="14">
        <f>'Correlation Matrix'!H19</f>
        <v>4.9510291361885665E-2</v>
      </c>
      <c r="J7" s="14">
        <f>'Correlation Matrix'!I19</f>
        <v>8.809608179439278E-2</v>
      </c>
    </row>
    <row r="8" spans="1:13" x14ac:dyDescent="0.25">
      <c r="B8" s="1" t="str">
        <f>'Correlation Matrix'!A20</f>
        <v>MRK</v>
      </c>
      <c r="C8" s="14">
        <f>'Correlation Matrix'!B20</f>
        <v>1.588239503711366E-2</v>
      </c>
      <c r="D8" s="14">
        <f>'Correlation Matrix'!C20</f>
        <v>8.2695369862707604E-3</v>
      </c>
      <c r="E8" s="14">
        <f>'Correlation Matrix'!D20</f>
        <v>1.2792857642811201E-2</v>
      </c>
      <c r="F8" s="14">
        <f>'Correlation Matrix'!E20</f>
        <v>1.7015341636723701E-2</v>
      </c>
      <c r="G8" s="14">
        <f>'Correlation Matrix'!F20</f>
        <v>2.5552543840921664E-3</v>
      </c>
      <c r="H8" s="14">
        <f>'Correlation Matrix'!G20</f>
        <v>3.9928902929570916E-2</v>
      </c>
      <c r="I8" s="14">
        <f>'Correlation Matrix'!H20</f>
        <v>1.7989274828854273E-2</v>
      </c>
      <c r="J8" s="14">
        <f>'Correlation Matrix'!I20</f>
        <v>1.5893224293060487E-2</v>
      </c>
    </row>
    <row r="9" spans="1:13" x14ac:dyDescent="0.25">
      <c r="B9" s="1" t="str">
        <f>'Correlation Matrix'!A21</f>
        <v>XOM</v>
      </c>
      <c r="C9" s="14">
        <f>'Correlation Matrix'!B21</f>
        <v>3.365699755997708E-2</v>
      </c>
      <c r="D9" s="14">
        <f>'Correlation Matrix'!C21</f>
        <v>2.1958830405324418E-2</v>
      </c>
      <c r="E9" s="14">
        <f>'Correlation Matrix'!D21</f>
        <v>7.1636669732787789E-2</v>
      </c>
      <c r="F9" s="14">
        <f>'Correlation Matrix'!E21</f>
        <v>4.3183869856212698E-2</v>
      </c>
      <c r="G9" s="14">
        <f>'Correlation Matrix'!F21</f>
        <v>4.9510291361885665E-2</v>
      </c>
      <c r="H9" s="14">
        <f>'Correlation Matrix'!G21</f>
        <v>1.7989274828854276E-2</v>
      </c>
      <c r="I9" s="14">
        <f>'Correlation Matrix'!H21</f>
        <v>9.0970461818403264E-2</v>
      </c>
      <c r="J9" s="14">
        <f>'Correlation Matrix'!I21</f>
        <v>8.0282646695986629E-2</v>
      </c>
    </row>
    <row r="10" spans="1:13" x14ac:dyDescent="0.25">
      <c r="B10" s="1" t="str">
        <f>'Correlation Matrix'!A22</f>
        <v>UAL</v>
      </c>
      <c r="C10" s="14">
        <f>'Correlation Matrix'!B22</f>
        <v>-1.3206096357430103E-2</v>
      </c>
      <c r="D10" s="14">
        <f>'Correlation Matrix'!C22</f>
        <v>2.6420876191988699E-2</v>
      </c>
      <c r="E10" s="14">
        <f>'Correlation Matrix'!D22</f>
        <v>9.9053802884834299E-2</v>
      </c>
      <c r="F10" s="14">
        <f>'Correlation Matrix'!E22</f>
        <v>6.6378483602210117E-2</v>
      </c>
      <c r="G10" s="14">
        <f>'Correlation Matrix'!F22</f>
        <v>8.8096081794392767E-2</v>
      </c>
      <c r="H10" s="14">
        <f>'Correlation Matrix'!G22</f>
        <v>1.5893224293060487E-2</v>
      </c>
      <c r="I10" s="14">
        <f>'Correlation Matrix'!H22</f>
        <v>8.0282646695986615E-2</v>
      </c>
      <c r="J10" s="14">
        <f>'Correlation Matrix'!I22</f>
        <v>0.20351289984249771</v>
      </c>
      <c r="L10" s="1" t="s">
        <v>41</v>
      </c>
    </row>
    <row r="11" spans="1:13" x14ac:dyDescent="0.25">
      <c r="C11" s="14"/>
      <c r="D11" s="14"/>
      <c r="E11" s="14"/>
      <c r="F11" s="14"/>
      <c r="G11" s="14"/>
      <c r="H11" s="14"/>
      <c r="I11" s="14"/>
      <c r="J11" s="14"/>
      <c r="L11" t="s">
        <v>13</v>
      </c>
      <c r="M11" s="9">
        <f>Returns!U1</f>
        <v>0.03</v>
      </c>
    </row>
    <row r="12" spans="1:13" x14ac:dyDescent="0.25">
      <c r="D12" s="33" t="s">
        <v>19</v>
      </c>
      <c r="E12" s="33"/>
      <c r="F12" s="33"/>
      <c r="G12" s="33"/>
      <c r="H12" s="33"/>
      <c r="I12" s="33"/>
      <c r="L12" t="s">
        <v>36</v>
      </c>
      <c r="M12" s="6">
        <f>B27</f>
        <v>0.1022394772995691</v>
      </c>
    </row>
    <row r="13" spans="1:13" x14ac:dyDescent="0.25">
      <c r="C13" s="4" t="str">
        <f>C2</f>
        <v>PZZA</v>
      </c>
      <c r="D13" s="4" t="str">
        <f t="shared" ref="D13:J13" si="0">D2</f>
        <v>AAPL</v>
      </c>
      <c r="E13" s="4" t="str">
        <f t="shared" si="0"/>
        <v>PRU</v>
      </c>
      <c r="F13" s="4" t="str">
        <f t="shared" si="0"/>
        <v>DIS</v>
      </c>
      <c r="G13" s="4" t="str">
        <f t="shared" si="0"/>
        <v>GE</v>
      </c>
      <c r="H13" s="4" t="str">
        <f t="shared" si="0"/>
        <v>MRK</v>
      </c>
      <c r="I13" s="4" t="str">
        <f t="shared" si="0"/>
        <v>XOM</v>
      </c>
      <c r="J13" s="4" t="str">
        <f t="shared" si="0"/>
        <v>UAL</v>
      </c>
      <c r="L13" t="s">
        <v>37</v>
      </c>
      <c r="M13" s="6">
        <f>B26</f>
        <v>0.21080756421190952</v>
      </c>
    </row>
    <row r="14" spans="1:13" x14ac:dyDescent="0.25">
      <c r="B14" s="1" t="s">
        <v>18</v>
      </c>
      <c r="C14" s="16">
        <f>B15</f>
        <v>1.6140373945606953E-2</v>
      </c>
      <c r="D14" s="16">
        <f>B16</f>
        <v>0.28605514824888301</v>
      </c>
      <c r="E14" s="16">
        <f>B17</f>
        <v>0.34758757924306777</v>
      </c>
      <c r="F14" s="16">
        <f>B18</f>
        <v>9.7359532274930188E-2</v>
      </c>
      <c r="G14" s="16">
        <f>B19</f>
        <v>-5.0588378370768218E-2</v>
      </c>
      <c r="H14" s="16">
        <f>B20</f>
        <v>0.17560613951141846</v>
      </c>
      <c r="I14" s="16">
        <f>B21</f>
        <v>0.10719077396373078</v>
      </c>
      <c r="J14" s="16">
        <f>B22</f>
        <v>2.0648831183130868E-2</v>
      </c>
      <c r="L14" t="s">
        <v>38</v>
      </c>
      <c r="M14">
        <f>(M12-M11)/M13</f>
        <v>0.34267972105095812</v>
      </c>
    </row>
    <row r="15" spans="1:13" x14ac:dyDescent="0.25">
      <c r="A15" s="1" t="str">
        <f>B3</f>
        <v>PZZA</v>
      </c>
      <c r="B15" s="13">
        <v>1.6140373945606953E-2</v>
      </c>
      <c r="C15" s="14">
        <f>C3*$B$15*C14</f>
        <v>3.2485848561161311E-5</v>
      </c>
      <c r="D15" s="14">
        <f t="shared" ref="D15:D22" si="1">D3*B15*$D$14</f>
        <v>2.1171326313373503E-4</v>
      </c>
      <c r="E15" s="14">
        <f t="shared" ref="E15:E22" si="2">E3*B15*$E$14</f>
        <v>1.4384441785541264E-4</v>
      </c>
      <c r="F15" s="14">
        <f t="shared" ref="F15:F22" si="3">F3*B15*$F$14</f>
        <v>2.7272379458562678E-5</v>
      </c>
      <c r="G15" s="14">
        <f t="shared" ref="G15:G22" si="4">G3*B15*$G$14</f>
        <v>-2.3069211013249084E-6</v>
      </c>
      <c r="H15" s="14">
        <f t="shared" ref="H15:H22" si="5">H3*B15*$H$14</f>
        <v>4.5016246661146963E-5</v>
      </c>
      <c r="I15" s="14">
        <f t="shared" ref="I15:I22" si="6">I3*B15*$I$14</f>
        <v>5.8229943721376559E-5</v>
      </c>
      <c r="J15" s="14">
        <f t="shared" ref="J15:J22" si="7">J3*B15*$J$14</f>
        <v>-4.4013259033593556E-6</v>
      </c>
      <c r="L15" t="s">
        <v>28</v>
      </c>
      <c r="M15">
        <v>3</v>
      </c>
    </row>
    <row r="16" spans="1:13" x14ac:dyDescent="0.25">
      <c r="A16" s="1" t="str">
        <f t="shared" ref="A16:A22" si="8">B4</f>
        <v>AAPL</v>
      </c>
      <c r="B16" s="13">
        <v>0.28605514824888301</v>
      </c>
      <c r="C16" s="14">
        <f t="shared" ref="C16:C22" si="9">C4*B16*$C$14</f>
        <v>2.1171326313373508E-4</v>
      </c>
      <c r="D16" s="14">
        <f t="shared" si="1"/>
        <v>6.8390681100414024E-3</v>
      </c>
      <c r="E16" s="14">
        <f t="shared" si="2"/>
        <v>3.1776985581808519E-3</v>
      </c>
      <c r="F16" s="14">
        <f t="shared" si="3"/>
        <v>7.2193613218590833E-4</v>
      </c>
      <c r="G16" s="14">
        <f t="shared" si="4"/>
        <v>-3.8118274150476778E-4</v>
      </c>
      <c r="H16" s="14">
        <f t="shared" si="5"/>
        <v>4.1540398445678091E-4</v>
      </c>
      <c r="I16" s="14">
        <f t="shared" si="6"/>
        <v>6.7331203864202764E-4</v>
      </c>
      <c r="J16" s="14">
        <f t="shared" si="7"/>
        <v>1.56060307379213E-4</v>
      </c>
      <c r="L16" t="s">
        <v>32</v>
      </c>
      <c r="M16" s="6">
        <v>0.54185234818627781</v>
      </c>
    </row>
    <row r="17" spans="1:14" x14ac:dyDescent="0.25">
      <c r="A17" s="1" t="str">
        <f t="shared" si="8"/>
        <v>PRU</v>
      </c>
      <c r="B17" s="13">
        <v>0.34758757924306777</v>
      </c>
      <c r="C17" s="14">
        <f t="shared" si="9"/>
        <v>1.4384441785541267E-4</v>
      </c>
      <c r="D17" s="14">
        <f t="shared" si="1"/>
        <v>3.1776985581808519E-3</v>
      </c>
      <c r="E17" s="14">
        <f t="shared" si="2"/>
        <v>1.2187833892144126E-2</v>
      </c>
      <c r="F17" s="14">
        <f t="shared" si="3"/>
        <v>1.9412476188335724E-3</v>
      </c>
      <c r="G17" s="14">
        <f t="shared" si="4"/>
        <v>-1.2369927181085953E-3</v>
      </c>
      <c r="H17" s="14">
        <f t="shared" si="5"/>
        <v>7.8085700668068729E-4</v>
      </c>
      <c r="I17" s="14">
        <f t="shared" si="6"/>
        <v>2.6690520529347428E-3</v>
      </c>
      <c r="J17" s="14">
        <f t="shared" si="7"/>
        <v>7.1093660549022405E-4</v>
      </c>
      <c r="L17" t="s">
        <v>33</v>
      </c>
      <c r="M17" s="6">
        <f>M16*M12+(1-M16)*M11</f>
        <v>6.9143130406520828E-2</v>
      </c>
    </row>
    <row r="18" spans="1:14" x14ac:dyDescent="0.25">
      <c r="A18" s="1" t="str">
        <f t="shared" si="8"/>
        <v>DIS</v>
      </c>
      <c r="B18" s="13">
        <v>9.7359532274930188E-2</v>
      </c>
      <c r="C18" s="14">
        <f t="shared" si="9"/>
        <v>2.7272379458562674E-5</v>
      </c>
      <c r="D18" s="14">
        <f t="shared" si="1"/>
        <v>7.2193613218590822E-4</v>
      </c>
      <c r="E18" s="14">
        <f t="shared" si="2"/>
        <v>1.9412476188335726E-3</v>
      </c>
      <c r="F18" s="14">
        <f t="shared" si="3"/>
        <v>7.0214115178694617E-4</v>
      </c>
      <c r="G18" s="14">
        <f t="shared" si="4"/>
        <v>-2.0889807761516343E-4</v>
      </c>
      <c r="H18" s="14">
        <f t="shared" si="5"/>
        <v>2.9091013224025457E-4</v>
      </c>
      <c r="I18" s="14">
        <f t="shared" si="6"/>
        <v>4.5066874938309528E-4</v>
      </c>
      <c r="J18" s="14">
        <f t="shared" si="7"/>
        <v>1.3344468453809489E-4</v>
      </c>
      <c r="L18" t="s">
        <v>34</v>
      </c>
      <c r="M18" s="6">
        <f>M16*M13</f>
        <v>0.11422657368365272</v>
      </c>
    </row>
    <row r="19" spans="1:14" x14ac:dyDescent="0.25">
      <c r="A19" s="1" t="str">
        <f t="shared" si="8"/>
        <v>GE</v>
      </c>
      <c r="B19" s="13">
        <v>-5.0588378370768218E-2</v>
      </c>
      <c r="C19" s="14">
        <f t="shared" si="9"/>
        <v>-2.3069211013249084E-6</v>
      </c>
      <c r="D19" s="14">
        <f t="shared" si="1"/>
        <v>-3.8118274150476773E-4</v>
      </c>
      <c r="E19" s="14">
        <f t="shared" si="2"/>
        <v>-1.2369927181085953E-3</v>
      </c>
      <c r="F19" s="14">
        <f t="shared" si="3"/>
        <v>-2.0889807761516343E-4</v>
      </c>
      <c r="G19" s="14">
        <f t="shared" si="4"/>
        <v>3.8584868201843977E-4</v>
      </c>
      <c r="H19" s="14">
        <f t="shared" si="5"/>
        <v>-2.2699934069334118E-5</v>
      </c>
      <c r="I19" s="14">
        <f t="shared" si="6"/>
        <v>-2.6847487385650652E-4</v>
      </c>
      <c r="J19" s="14">
        <f t="shared" si="7"/>
        <v>-9.2024364029576623E-5</v>
      </c>
      <c r="L19" t="s">
        <v>26</v>
      </c>
      <c r="M19" s="9">
        <f>M17-0.5*M15*M18^2</f>
        <v>4.9571565203260413E-2</v>
      </c>
    </row>
    <row r="20" spans="1:14" x14ac:dyDescent="0.25">
      <c r="A20" s="1" t="str">
        <f t="shared" si="8"/>
        <v>MRK</v>
      </c>
      <c r="B20" s="13">
        <v>0.17560613951141846</v>
      </c>
      <c r="C20" s="14">
        <f t="shared" si="9"/>
        <v>4.5016246661146963E-5</v>
      </c>
      <c r="D20" s="14">
        <f t="shared" si="1"/>
        <v>4.1540398445678091E-4</v>
      </c>
      <c r="E20" s="14">
        <f t="shared" si="2"/>
        <v>7.808570066806874E-4</v>
      </c>
      <c r="F20" s="14">
        <f t="shared" si="3"/>
        <v>2.9091013224025452E-4</v>
      </c>
      <c r="G20" s="14">
        <f t="shared" si="4"/>
        <v>-2.2699934069334118E-5</v>
      </c>
      <c r="H20" s="14">
        <f t="shared" si="5"/>
        <v>1.2313081923005964E-3</v>
      </c>
      <c r="I20" s="14">
        <f t="shared" si="6"/>
        <v>3.3861856039005039E-4</v>
      </c>
      <c r="J20" s="14">
        <f t="shared" si="7"/>
        <v>5.7629809188663964E-5</v>
      </c>
      <c r="L20" s="33" t="s">
        <v>40</v>
      </c>
      <c r="M20" s="33"/>
      <c r="N20" s="33"/>
    </row>
    <row r="21" spans="1:14" x14ac:dyDescent="0.25">
      <c r="A21" s="1" t="str">
        <f t="shared" si="8"/>
        <v>XOM</v>
      </c>
      <c r="B21" s="13">
        <v>0.10719077396373078</v>
      </c>
      <c r="C21" s="14">
        <f t="shared" si="9"/>
        <v>5.8229943721376545E-5</v>
      </c>
      <c r="D21" s="14">
        <f t="shared" si="1"/>
        <v>6.7331203864202753E-4</v>
      </c>
      <c r="E21" s="14">
        <f t="shared" si="2"/>
        <v>2.6690520529347428E-3</v>
      </c>
      <c r="F21" s="14">
        <f t="shared" si="3"/>
        <v>4.5066874938309523E-4</v>
      </c>
      <c r="G21" s="14">
        <f t="shared" si="4"/>
        <v>-2.6847487385650652E-4</v>
      </c>
      <c r="H21" s="14">
        <f t="shared" si="5"/>
        <v>3.386185603900505E-4</v>
      </c>
      <c r="I21" s="14">
        <f t="shared" si="6"/>
        <v>1.0452380544569147E-3</v>
      </c>
      <c r="J21" s="14">
        <f t="shared" si="7"/>
        <v>1.7769473575430226E-4</v>
      </c>
      <c r="M21" s="3" t="s">
        <v>29</v>
      </c>
      <c r="N21" s="3" t="s">
        <v>30</v>
      </c>
    </row>
    <row r="22" spans="1:14" x14ac:dyDescent="0.25">
      <c r="A22" s="1" t="str">
        <f t="shared" si="8"/>
        <v>UAL</v>
      </c>
      <c r="B22" s="13">
        <v>2.0648831183130868E-2</v>
      </c>
      <c r="C22" s="14">
        <f t="shared" si="9"/>
        <v>-4.4013259033593556E-6</v>
      </c>
      <c r="D22" s="14">
        <f t="shared" si="1"/>
        <v>1.56060307379213E-4</v>
      </c>
      <c r="E22" s="14">
        <f t="shared" si="2"/>
        <v>7.1093660549022394E-4</v>
      </c>
      <c r="F22" s="14">
        <f t="shared" si="3"/>
        <v>1.3344468453809491E-4</v>
      </c>
      <c r="G22" s="14">
        <f t="shared" si="4"/>
        <v>-9.2024364029576609E-5</v>
      </c>
      <c r="H22" s="14">
        <f t="shared" si="5"/>
        <v>5.7629809188663958E-5</v>
      </c>
      <c r="I22" s="14">
        <f t="shared" si="6"/>
        <v>1.7769473575430223E-4</v>
      </c>
      <c r="J22" s="14">
        <f t="shared" si="7"/>
        <v>8.6772655808592709E-5</v>
      </c>
      <c r="L22" t="s">
        <v>27</v>
      </c>
      <c r="M22" s="17">
        <v>0</v>
      </c>
      <c r="N22" s="9">
        <f>M11</f>
        <v>0.03</v>
      </c>
    </row>
    <row r="23" spans="1:14" x14ac:dyDescent="0.25">
      <c r="A23" s="22" t="s">
        <v>23</v>
      </c>
      <c r="B23" s="15">
        <f>SUM(B15:B22)</f>
        <v>0.99999999999999978</v>
      </c>
      <c r="C23" s="14"/>
      <c r="D23" s="14"/>
      <c r="E23" s="14"/>
      <c r="F23" s="14"/>
      <c r="G23" s="14"/>
      <c r="H23" s="14"/>
      <c r="I23" s="14"/>
      <c r="J23" s="14"/>
      <c r="L23" t="s">
        <v>35</v>
      </c>
      <c r="M23" s="9">
        <f>B26</f>
        <v>0.21080756421190952</v>
      </c>
      <c r="N23" s="10">
        <f>B27</f>
        <v>0.1022394772995691</v>
      </c>
    </row>
    <row r="24" spans="1:14" x14ac:dyDescent="0.25">
      <c r="L24" t="s">
        <v>39</v>
      </c>
      <c r="M24" s="9">
        <f>2.5*M23</f>
        <v>0.52701891052977379</v>
      </c>
      <c r="N24" s="10">
        <f>2.5*(N23-M11)+M11</f>
        <v>0.21059869324892275</v>
      </c>
    </row>
    <row r="25" spans="1:14" x14ac:dyDescent="0.25">
      <c r="A25" t="s">
        <v>20</v>
      </c>
      <c r="B25" s="14">
        <f>SUM(C15:J22)</f>
        <v>4.4439829128958351E-2</v>
      </c>
    </row>
    <row r="26" spans="1:14" x14ac:dyDescent="0.25">
      <c r="A26" t="s">
        <v>21</v>
      </c>
      <c r="B26" s="23">
        <f>SQRT(B25)</f>
        <v>0.21080756421190952</v>
      </c>
    </row>
    <row r="27" spans="1:14" x14ac:dyDescent="0.25">
      <c r="A27" t="s">
        <v>22</v>
      </c>
      <c r="B27" s="24">
        <f>SUMPRODUCT('Correlation Matrix'!L3:L10,B15:B22)</f>
        <v>0.1022394772995691</v>
      </c>
    </row>
  </sheetData>
  <mergeCells count="3">
    <mergeCell ref="D1:I1"/>
    <mergeCell ref="D12:I12"/>
    <mergeCell ref="L20:N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O57" sqref="O57"/>
    </sheetView>
  </sheetViews>
  <sheetFormatPr defaultRowHeight="15" x14ac:dyDescent="0.25"/>
  <cols>
    <col min="1" max="1" width="12.28515625" customWidth="1"/>
    <col min="2" max="2" width="10.5703125" customWidth="1"/>
    <col min="12" max="12" width="11.42578125" customWidth="1"/>
  </cols>
  <sheetData>
    <row r="1" spans="1:11" ht="15.75" x14ac:dyDescent="0.25">
      <c r="D1" s="32" t="s">
        <v>31</v>
      </c>
      <c r="E1" s="32"/>
      <c r="F1" s="32"/>
      <c r="G1" s="32"/>
      <c r="H1" s="32"/>
      <c r="I1" s="32"/>
    </row>
    <row r="2" spans="1:11" x14ac:dyDescent="0.25">
      <c r="A2" s="1" t="s">
        <v>24</v>
      </c>
      <c r="B2" s="1" t="s">
        <v>25</v>
      </c>
      <c r="C2" s="20" t="str">
        <f>'Covar Matrix'!C13</f>
        <v>PZZA</v>
      </c>
      <c r="D2" s="20" t="str">
        <f>'Covar Matrix'!D13</f>
        <v>AAPL</v>
      </c>
      <c r="E2" s="20" t="str">
        <f>'Covar Matrix'!E13</f>
        <v>PRU</v>
      </c>
      <c r="F2" s="20" t="str">
        <f>'Covar Matrix'!F13</f>
        <v>DIS</v>
      </c>
      <c r="G2" s="20" t="str">
        <f>'Covar Matrix'!G13</f>
        <v>GE</v>
      </c>
      <c r="H2" s="20" t="str">
        <f>'Covar Matrix'!H13</f>
        <v>MRK</v>
      </c>
      <c r="I2" s="20" t="str">
        <f>'Covar Matrix'!I13</f>
        <v>XOM</v>
      </c>
      <c r="J2" s="20" t="str">
        <f>'Covar Matrix'!J13</f>
        <v>UAL</v>
      </c>
    </row>
    <row r="3" spans="1:11" x14ac:dyDescent="0.25">
      <c r="A3" s="18">
        <v>0.02</v>
      </c>
      <c r="B3" s="19">
        <v>0.29541471936662589</v>
      </c>
      <c r="C3" s="29">
        <v>0.12169365073474608</v>
      </c>
      <c r="D3" s="26">
        <v>-4.3723262231952824E-2</v>
      </c>
      <c r="E3" s="26">
        <v>-0.73253615435209052</v>
      </c>
      <c r="F3" s="26">
        <v>0.1260618855848297</v>
      </c>
      <c r="G3" s="26">
        <v>0.42587088824936969</v>
      </c>
      <c r="H3" s="26">
        <v>1.2507785054347578</v>
      </c>
      <c r="I3" s="26">
        <v>-4.8325801839372462E-2</v>
      </c>
      <c r="J3" s="26">
        <v>-9.9819711580287226E-2</v>
      </c>
    </row>
    <row r="4" spans="1:11" x14ac:dyDescent="0.25">
      <c r="A4" s="18">
        <v>0.03</v>
      </c>
      <c r="B4" s="28">
        <v>0.25821951263674348</v>
      </c>
      <c r="C4" s="30">
        <v>0.10885899118817471</v>
      </c>
      <c r="D4" s="27">
        <v>-3.6132632743074477E-3</v>
      </c>
      <c r="E4" s="27">
        <v>-0.60118416620482396</v>
      </c>
      <c r="F4" s="27">
        <v>0.12257974406948115</v>
      </c>
      <c r="G4" s="27">
        <v>0.36792944288011603</v>
      </c>
      <c r="H4" s="27">
        <v>1.1200182786243531</v>
      </c>
      <c r="I4" s="27">
        <v>-2.940209765413632E-2</v>
      </c>
      <c r="J4" s="27">
        <v>-8.5186929628856892E-2</v>
      </c>
    </row>
    <row r="5" spans="1:11" x14ac:dyDescent="0.25">
      <c r="A5" s="18">
        <v>0.04</v>
      </c>
      <c r="B5" s="19">
        <v>0.22438200306884154</v>
      </c>
      <c r="C5">
        <v>9.6041097452715329E-2</v>
      </c>
      <c r="D5">
        <v>3.6469772572328342E-2</v>
      </c>
      <c r="E5">
        <v>-0.46988349055807066</v>
      </c>
      <c r="F5">
        <v>0.1190816419568401</v>
      </c>
      <c r="G5">
        <v>0.31000124110343324</v>
      </c>
      <c r="H5">
        <v>0.98929114930887463</v>
      </c>
      <c r="I5">
        <v>-1.0487759190848234E-2</v>
      </c>
      <c r="J5">
        <v>-7.0513652645272804E-2</v>
      </c>
    </row>
    <row r="6" spans="1:11" x14ac:dyDescent="0.25">
      <c r="A6" s="18">
        <v>0.05</v>
      </c>
      <c r="B6" s="19">
        <v>0.19563543889661969</v>
      </c>
      <c r="C6">
        <v>8.3224039956638546E-2</v>
      </c>
      <c r="D6">
        <v>7.6557691935547068E-2</v>
      </c>
      <c r="E6">
        <v>-0.33855530578701493</v>
      </c>
      <c r="F6">
        <v>0.1155840851361639</v>
      </c>
      <c r="G6">
        <v>0.25206231343369112</v>
      </c>
      <c r="H6">
        <v>0.85853576663409381</v>
      </c>
      <c r="I6">
        <v>8.430976859290111E-3</v>
      </c>
      <c r="J6">
        <v>-5.5839568168409535E-2</v>
      </c>
    </row>
    <row r="7" spans="1:11" x14ac:dyDescent="0.25">
      <c r="A7" s="18">
        <v>0.06</v>
      </c>
      <c r="B7" s="19">
        <v>0.17452790235198073</v>
      </c>
      <c r="C7">
        <v>7.0519213516030688E-2</v>
      </c>
      <c r="D7">
        <v>0.1164344441593694</v>
      </c>
      <c r="E7">
        <v>-0.20730764139820435</v>
      </c>
      <c r="F7">
        <v>0.11270051743714526</v>
      </c>
      <c r="G7">
        <v>0.19411206921337043</v>
      </c>
      <c r="H7">
        <v>0.72765371273396939</v>
      </c>
      <c r="I7">
        <v>2.7056729459785885E-2</v>
      </c>
      <c r="J7">
        <v>-4.1169045121466942E-2</v>
      </c>
    </row>
    <row r="8" spans="1:11" x14ac:dyDescent="0.25">
      <c r="A8" s="18">
        <v>7.0000000000000007E-2</v>
      </c>
      <c r="B8" s="19">
        <v>0.16402602748285772</v>
      </c>
      <c r="C8">
        <v>5.75795924108592E-2</v>
      </c>
      <c r="D8">
        <v>0.15674139590203612</v>
      </c>
      <c r="E8">
        <v>-7.592607799094131E-2</v>
      </c>
      <c r="F8">
        <v>0.10859881319968175</v>
      </c>
      <c r="G8">
        <v>0.13620020750946771</v>
      </c>
      <c r="H8">
        <v>0.59706240384620735</v>
      </c>
      <c r="I8">
        <v>4.6261104300302856E-2</v>
      </c>
      <c r="J8">
        <v>-2.651743917761358E-2</v>
      </c>
    </row>
    <row r="9" spans="1:11" x14ac:dyDescent="0.25">
      <c r="A9" s="18">
        <v>0.08</v>
      </c>
      <c r="B9" s="19">
        <v>0.16615631217694796</v>
      </c>
      <c r="C9">
        <v>4.475605717972559E-2</v>
      </c>
      <c r="D9">
        <v>0.19683585508154469</v>
      </c>
      <c r="E9">
        <v>5.5396193830280396E-2</v>
      </c>
      <c r="F9">
        <v>0.10510611088134031</v>
      </c>
      <c r="G9">
        <v>7.8266188340117768E-2</v>
      </c>
      <c r="H9">
        <v>0.46631920598007059</v>
      </c>
      <c r="I9">
        <v>6.517760984258604E-2</v>
      </c>
      <c r="J9">
        <v>-1.1857221135665457E-2</v>
      </c>
    </row>
    <row r="10" spans="1:11" x14ac:dyDescent="0.25">
      <c r="A10" s="18">
        <v>0.09</v>
      </c>
      <c r="B10" s="19">
        <v>0.18047193110896345</v>
      </c>
      <c r="C10">
        <v>3.1930951685075259E-2</v>
      </c>
      <c r="D10">
        <v>0.23693080885032819</v>
      </c>
      <c r="E10">
        <v>0.18671962600898892</v>
      </c>
      <c r="F10">
        <v>0.10161441777445906</v>
      </c>
      <c r="G10">
        <v>2.0332246598135255E-2</v>
      </c>
      <c r="H10">
        <v>0.33557597501718839</v>
      </c>
      <c r="I10">
        <v>8.4095460332127364E-2</v>
      </c>
      <c r="J10">
        <v>2.8005137336976011E-3</v>
      </c>
    </row>
    <row r="11" spans="1:11" x14ac:dyDescent="0.25">
      <c r="A11" s="18">
        <v>0.1</v>
      </c>
      <c r="B11" s="19">
        <v>0.20442879254068536</v>
      </c>
      <c r="C11">
        <v>1.9104992135730116E-2</v>
      </c>
      <c r="D11">
        <v>0.27702613149000194</v>
      </c>
      <c r="E11">
        <v>0.31804158302953295</v>
      </c>
      <c r="F11">
        <v>9.8123382458573369E-2</v>
      </c>
      <c r="G11">
        <v>-3.7602098802905125E-2</v>
      </c>
      <c r="H11">
        <v>0.2048328496269759</v>
      </c>
      <c r="I11">
        <v>0.10301431722324537</v>
      </c>
      <c r="J11">
        <v>1.7458842838845301E-2</v>
      </c>
    </row>
    <row r="12" spans="1:11" x14ac:dyDescent="0.25">
      <c r="A12" s="18">
        <v>0.11</v>
      </c>
      <c r="B12" s="19">
        <v>0.23509776685414416</v>
      </c>
      <c r="C12">
        <v>6.2791254365717015E-3</v>
      </c>
      <c r="D12">
        <v>0.31712568096032856</v>
      </c>
      <c r="E12">
        <v>0.44936554506547671</v>
      </c>
      <c r="F12">
        <v>9.4633216936723857E-2</v>
      </c>
      <c r="G12">
        <v>-9.5538938731737882E-2</v>
      </c>
      <c r="H12">
        <v>7.4089124845635637E-2</v>
      </c>
      <c r="I12">
        <v>0.12193203204977338</v>
      </c>
      <c r="J12">
        <v>3.2114213437227965E-2</v>
      </c>
    </row>
    <row r="13" spans="1:11" x14ac:dyDescent="0.25">
      <c r="A13" s="18">
        <v>0.12</v>
      </c>
      <c r="B13" s="19">
        <v>0.2702028945452371</v>
      </c>
      <c r="C13">
        <v>-6.5488678096732849E-3</v>
      </c>
      <c r="D13">
        <v>0.35722432760037054</v>
      </c>
      <c r="E13">
        <v>0.58069123736182859</v>
      </c>
      <c r="F13">
        <v>9.1146026324418344E-2</v>
      </c>
      <c r="G13">
        <v>-0.15347277968052378</v>
      </c>
      <c r="H13">
        <v>-5.6657122576565182E-2</v>
      </c>
      <c r="I13">
        <v>0.14085467488751585</v>
      </c>
      <c r="J13">
        <v>4.6762503892628843E-2</v>
      </c>
    </row>
    <row r="14" spans="1:11" x14ac:dyDescent="0.25">
      <c r="A14" s="18">
        <v>0.13</v>
      </c>
      <c r="B14" s="19">
        <v>0.3082321592018355</v>
      </c>
      <c r="C14">
        <v>-1.9370424141889695E-2</v>
      </c>
      <c r="D14">
        <v>0.39731785636588435</v>
      </c>
      <c r="E14">
        <v>0.71201591006337239</v>
      </c>
      <c r="F14">
        <v>8.7660238438503457E-2</v>
      </c>
      <c r="G14">
        <v>-0.21140634196399735</v>
      </c>
      <c r="H14">
        <v>-0.18740729584348217</v>
      </c>
      <c r="I14">
        <v>0.15978144025210272</v>
      </c>
      <c r="J14">
        <v>6.1408616829506192E-2</v>
      </c>
    </row>
    <row r="16" spans="1:11" x14ac:dyDescent="0.25">
      <c r="A16" s="37">
        <v>7.334587636692895E-2</v>
      </c>
      <c r="B16" s="37">
        <v>0.16329666779770965</v>
      </c>
      <c r="C16" s="26">
        <v>5.3179804594907454E-2</v>
      </c>
      <c r="D16" s="26">
        <v>0.17027158121355349</v>
      </c>
      <c r="E16" s="26">
        <v>-3.2037221728388666E-2</v>
      </c>
      <c r="F16" s="26">
        <v>0.10725355455401425</v>
      </c>
      <c r="G16" s="26">
        <v>0.11701760454445211</v>
      </c>
      <c r="H16" s="26">
        <v>0.55322975696776255</v>
      </c>
      <c r="I16" s="26">
        <v>5.2858445133251566E-2</v>
      </c>
      <c r="J16" s="26">
        <v>-2.177352527955273E-2</v>
      </c>
      <c r="K16" s="31" t="s">
        <v>47</v>
      </c>
    </row>
  </sheetData>
  <mergeCells count="1">
    <mergeCell ref="D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Returns</vt:lpstr>
      <vt:lpstr>Correlation Matrix</vt:lpstr>
      <vt:lpstr>Covar Matrix</vt:lpstr>
      <vt:lpstr>Efficient Frontier</vt:lpstr>
      <vt:lpstr>AAPL</vt:lpstr>
      <vt:lpstr>DIS</vt:lpstr>
      <vt:lpstr>GE</vt:lpstr>
      <vt:lpstr>MRK</vt:lpstr>
      <vt:lpstr>PRU</vt:lpstr>
      <vt:lpstr>PZZA</vt:lpstr>
      <vt:lpstr>SP</vt:lpstr>
      <vt:lpstr>UAL</vt:lpstr>
      <vt:lpstr>XOM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wreese</dc:creator>
  <cp:lastModifiedBy>Reese, William A</cp:lastModifiedBy>
  <dcterms:created xsi:type="dcterms:W3CDTF">2009-05-12T21:15:13Z</dcterms:created>
  <dcterms:modified xsi:type="dcterms:W3CDTF">2022-02-07T16:36:28Z</dcterms:modified>
</cp:coreProperties>
</file>