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reese\Documents\Finance 7110 (MBA Investments)\Spreadsheets\"/>
    </mc:Choice>
  </mc:AlternateContent>
  <bookViews>
    <workbookView xWindow="360" yWindow="285" windowWidth="14835" windowHeight="8280"/>
  </bookViews>
  <sheets>
    <sheet name="Returns" sheetId="1" r:id="rId1"/>
    <sheet name="Correlation Matrix" sheetId="4" r:id="rId2"/>
    <sheet name="Covar Matrix" sheetId="2" r:id="rId3"/>
    <sheet name="Efficient Frontier" sheetId="3" r:id="rId4"/>
  </sheets>
  <definedNames>
    <definedName name="AAPL">Returns!$L$4:$L$63</definedName>
    <definedName name="DIS">Returns!$N$4:$N$63</definedName>
    <definedName name="GE">Returns!$O$4:$O$63</definedName>
    <definedName name="MRK">Returns!$P$4:$P$63</definedName>
    <definedName name="PRU">Returns!$M$4:$M$63</definedName>
    <definedName name="PZZA">Returns!$K$4:$K$63</definedName>
    <definedName name="solver_adj" localSheetId="2" hidden="1">'Covar Matrix'!$M$16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ng" localSheetId="2" hidden="1">1</definedName>
    <definedName name="solver_est" localSheetId="2" hidden="1">1</definedName>
    <definedName name="solver_est" localSheetId="3" hidden="1">1</definedName>
    <definedName name="solver_itr" localSheetId="2" hidden="1">100</definedName>
    <definedName name="solver_itr" localSheetId="3" hidden="1">100</definedName>
    <definedName name="solver_lhs1" localSheetId="2" hidden="1">'Covar Matrix'!$B$23</definedName>
    <definedName name="solver_lhs2" localSheetId="2" hidden="1">'Covar Matrix'!$B$27</definedName>
    <definedName name="solver_lin" localSheetId="2" hidden="1">2</definedName>
    <definedName name="solver_lin" localSheetId="3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eg" localSheetId="3" hidden="1">2</definedName>
    <definedName name="solver_nod" localSheetId="2" hidden="1">2147483647</definedName>
    <definedName name="solver_num" localSheetId="2" hidden="1">1</definedName>
    <definedName name="solver_num" localSheetId="3" hidden="1">0</definedName>
    <definedName name="solver_nwt" localSheetId="2" hidden="1">1</definedName>
    <definedName name="solver_nwt" localSheetId="3" hidden="1">1</definedName>
    <definedName name="solver_opt" localSheetId="2" hidden="1">'Covar Matrix'!$M$19</definedName>
    <definedName name="solver_opt" localSheetId="3" hidden="1">'Covar Matrix'!$M$14</definedName>
    <definedName name="solver_pre" localSheetId="2" hidden="1">0.000001</definedName>
    <definedName name="solver_pre" localSheetId="3" hidden="1">0.000001</definedName>
    <definedName name="solver_rbv" localSheetId="2" hidden="1">1</definedName>
    <definedName name="solver_rel1" localSheetId="2" hidden="1">2</definedName>
    <definedName name="solver_rel2" localSheetId="2" hidden="1">2</definedName>
    <definedName name="solver_rhs1" localSheetId="2" hidden="1">1</definedName>
    <definedName name="solver_rhs2" localSheetId="2" hidden="1">0.13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  <definedName name="solver_ver" localSheetId="2" hidden="1">3</definedName>
    <definedName name="SP">Returns!$S$4:$S$63</definedName>
    <definedName name="UAL">Returns!$R$4:$R$63</definedName>
    <definedName name="XOM">Returns!$Q$4:$Q$63</definedName>
  </definedNames>
  <calcPr calcId="162913"/>
</workbook>
</file>

<file path=xl/calcChain.xml><?xml version="1.0" encoding="utf-8"?>
<calcChain xmlns="http://schemas.openxmlformats.org/spreadsheetml/2006/main">
  <c r="I3" i="4" l="1"/>
  <c r="I10" i="4" l="1"/>
  <c r="I9" i="4"/>
  <c r="H10" i="4"/>
  <c r="H9" i="4"/>
  <c r="I8" i="4"/>
  <c r="H8" i="4"/>
  <c r="G10" i="4"/>
  <c r="G9" i="4"/>
  <c r="G8" i="4"/>
  <c r="I7" i="4"/>
  <c r="H7" i="4"/>
  <c r="G7" i="4"/>
  <c r="F10" i="4"/>
  <c r="F9" i="4"/>
  <c r="F8" i="4"/>
  <c r="F7" i="4"/>
  <c r="I6" i="4"/>
  <c r="H6" i="4"/>
  <c r="G6" i="4"/>
  <c r="F6" i="4"/>
  <c r="E10" i="4"/>
  <c r="E9" i="4"/>
  <c r="E8" i="4"/>
  <c r="E7" i="4"/>
  <c r="E6" i="4"/>
  <c r="I5" i="4"/>
  <c r="H5" i="4"/>
  <c r="G5" i="4"/>
  <c r="F5" i="4"/>
  <c r="E5" i="4"/>
  <c r="D10" i="4"/>
  <c r="D9" i="4"/>
  <c r="D8" i="4"/>
  <c r="D7" i="4"/>
  <c r="D6" i="4"/>
  <c r="D5" i="4"/>
  <c r="I4" i="4"/>
  <c r="H4" i="4"/>
  <c r="G4" i="4"/>
  <c r="F4" i="4"/>
  <c r="E4" i="4"/>
  <c r="D4" i="4"/>
  <c r="C10" i="4"/>
  <c r="C9" i="4"/>
  <c r="C8" i="4"/>
  <c r="C7" i="4"/>
  <c r="C6" i="4"/>
  <c r="C5" i="4"/>
  <c r="C4" i="4"/>
  <c r="H3" i="4"/>
  <c r="G3" i="4"/>
  <c r="F3" i="4"/>
  <c r="E3" i="4"/>
  <c r="D3" i="4"/>
  <c r="C3" i="4"/>
  <c r="B10" i="4"/>
  <c r="B9" i="4"/>
  <c r="B8" i="4"/>
  <c r="B7" i="4"/>
  <c r="B6" i="4"/>
  <c r="B5" i="4"/>
  <c r="B4" i="4"/>
  <c r="B3" i="4"/>
  <c r="M11" i="2" l="1"/>
  <c r="G14" i="4" l="1"/>
  <c r="H2" i="2" s="1"/>
  <c r="H13" i="2" s="1"/>
  <c r="H2" i="3" s="1"/>
  <c r="H14" i="4"/>
  <c r="I2" i="2" s="1"/>
  <c r="I13" i="2" s="1"/>
  <c r="I2" i="3" s="1"/>
  <c r="A4" i="4"/>
  <c r="A16" i="4" s="1"/>
  <c r="B4" i="2" s="1"/>
  <c r="A16" i="2" s="1"/>
  <c r="C2" i="4"/>
  <c r="C14" i="4" s="1"/>
  <c r="D2" i="2" s="1"/>
  <c r="D13" i="2" s="1"/>
  <c r="D2" i="3" s="1"/>
  <c r="D2" i="4"/>
  <c r="A5" i="4" s="1"/>
  <c r="A17" i="4" s="1"/>
  <c r="B5" i="2" s="1"/>
  <c r="A17" i="2" s="1"/>
  <c r="E2" i="4"/>
  <c r="E14" i="4" s="1"/>
  <c r="F2" i="2" s="1"/>
  <c r="F13" i="2" s="1"/>
  <c r="F2" i="3" s="1"/>
  <c r="F2" i="4"/>
  <c r="F14" i="4" s="1"/>
  <c r="G2" i="2" s="1"/>
  <c r="G13" i="2" s="1"/>
  <c r="G2" i="3" s="1"/>
  <c r="G2" i="4"/>
  <c r="A8" i="4" s="1"/>
  <c r="H2" i="4"/>
  <c r="A9" i="4" s="1"/>
  <c r="I2" i="4"/>
  <c r="I14" i="4" s="1"/>
  <c r="J2" i="2" s="1"/>
  <c r="J13" i="2" s="1"/>
  <c r="J2" i="3" s="1"/>
  <c r="B2" i="4"/>
  <c r="B14" i="4" s="1"/>
  <c r="C2" i="2" s="1"/>
  <c r="C13" i="2" s="1"/>
  <c r="C2" i="3" s="1"/>
  <c r="L2" i="1"/>
  <c r="M2" i="1"/>
  <c r="N2" i="1"/>
  <c r="O2" i="1"/>
  <c r="P2" i="1"/>
  <c r="Q2" i="1"/>
  <c r="R2" i="1"/>
  <c r="S2" i="1"/>
  <c r="K2" i="1"/>
  <c r="K4" i="1"/>
  <c r="L4" i="1"/>
  <c r="M4" i="1"/>
  <c r="M65" i="1" s="1"/>
  <c r="M66" i="1" s="1"/>
  <c r="K5" i="4" s="1"/>
  <c r="N4" i="1"/>
  <c r="O4" i="1"/>
  <c r="P4" i="1"/>
  <c r="Q4" i="1"/>
  <c r="Q65" i="1" s="1"/>
  <c r="Q66" i="1" s="1"/>
  <c r="K9" i="4" s="1"/>
  <c r="R4" i="1"/>
  <c r="S4" i="1"/>
  <c r="K5" i="1"/>
  <c r="K65" i="1" s="1"/>
  <c r="K66" i="1" s="1"/>
  <c r="K3" i="4" s="1"/>
  <c r="L5" i="1"/>
  <c r="M5" i="1"/>
  <c r="N5" i="1"/>
  <c r="O5" i="1"/>
  <c r="P5" i="1"/>
  <c r="Q5" i="1"/>
  <c r="R5" i="1"/>
  <c r="S5" i="1"/>
  <c r="K6" i="1"/>
  <c r="L6" i="1"/>
  <c r="M6" i="1"/>
  <c r="N6" i="1"/>
  <c r="N67" i="1" s="1"/>
  <c r="O6" i="1"/>
  <c r="P6" i="1"/>
  <c r="Q6" i="1"/>
  <c r="R6" i="1"/>
  <c r="S6" i="1"/>
  <c r="S67" i="1" s="1"/>
  <c r="K7" i="1"/>
  <c r="L7" i="1"/>
  <c r="M7" i="1"/>
  <c r="N7" i="1"/>
  <c r="O7" i="1"/>
  <c r="P7" i="1"/>
  <c r="Q7" i="1"/>
  <c r="R7" i="1"/>
  <c r="S7" i="1"/>
  <c r="K8" i="1"/>
  <c r="L8" i="1"/>
  <c r="M8" i="1"/>
  <c r="N8" i="1"/>
  <c r="O8" i="1"/>
  <c r="P8" i="1"/>
  <c r="Q8" i="1"/>
  <c r="R8" i="1"/>
  <c r="S8" i="1"/>
  <c r="K9" i="1"/>
  <c r="L9" i="1"/>
  <c r="M9" i="1"/>
  <c r="N9" i="1"/>
  <c r="O9" i="1"/>
  <c r="P9" i="1"/>
  <c r="Q9" i="1"/>
  <c r="R9" i="1"/>
  <c r="S9" i="1"/>
  <c r="K10" i="1"/>
  <c r="L10" i="1"/>
  <c r="M10" i="1"/>
  <c r="N10" i="1"/>
  <c r="O10" i="1"/>
  <c r="P10" i="1"/>
  <c r="Q10" i="1"/>
  <c r="R10" i="1"/>
  <c r="S10" i="1"/>
  <c r="K11" i="1"/>
  <c r="L11" i="1"/>
  <c r="M11" i="1"/>
  <c r="N11" i="1"/>
  <c r="O11" i="1"/>
  <c r="P11" i="1"/>
  <c r="Q11" i="1"/>
  <c r="R11" i="1"/>
  <c r="S11" i="1"/>
  <c r="K12" i="1"/>
  <c r="L12" i="1"/>
  <c r="M12" i="1"/>
  <c r="N12" i="1"/>
  <c r="O12" i="1"/>
  <c r="P12" i="1"/>
  <c r="Q12" i="1"/>
  <c r="R12" i="1"/>
  <c r="S12" i="1"/>
  <c r="K13" i="1"/>
  <c r="L13" i="1"/>
  <c r="M13" i="1"/>
  <c r="N13" i="1"/>
  <c r="O13" i="1"/>
  <c r="P13" i="1"/>
  <c r="Q13" i="1"/>
  <c r="R13" i="1"/>
  <c r="S13" i="1"/>
  <c r="K14" i="1"/>
  <c r="L14" i="1"/>
  <c r="M14" i="1"/>
  <c r="N14" i="1"/>
  <c r="O14" i="1"/>
  <c r="P14" i="1"/>
  <c r="Q14" i="1"/>
  <c r="R14" i="1"/>
  <c r="S14" i="1"/>
  <c r="K15" i="1"/>
  <c r="L15" i="1"/>
  <c r="M15" i="1"/>
  <c r="N15" i="1"/>
  <c r="O15" i="1"/>
  <c r="P15" i="1"/>
  <c r="Q15" i="1"/>
  <c r="R15" i="1"/>
  <c r="S15" i="1"/>
  <c r="K16" i="1"/>
  <c r="L16" i="1"/>
  <c r="M16" i="1"/>
  <c r="N16" i="1"/>
  <c r="O16" i="1"/>
  <c r="P16" i="1"/>
  <c r="Q16" i="1"/>
  <c r="R16" i="1"/>
  <c r="S16" i="1"/>
  <c r="K17" i="1"/>
  <c r="L17" i="1"/>
  <c r="M17" i="1"/>
  <c r="N17" i="1"/>
  <c r="O17" i="1"/>
  <c r="P17" i="1"/>
  <c r="Q17" i="1"/>
  <c r="R17" i="1"/>
  <c r="S17" i="1"/>
  <c r="K18" i="1"/>
  <c r="L18" i="1"/>
  <c r="M18" i="1"/>
  <c r="N18" i="1"/>
  <c r="O18" i="1"/>
  <c r="P18" i="1"/>
  <c r="Q18" i="1"/>
  <c r="R18" i="1"/>
  <c r="S18" i="1"/>
  <c r="K19" i="1"/>
  <c r="L19" i="1"/>
  <c r="M19" i="1"/>
  <c r="N19" i="1"/>
  <c r="O19" i="1"/>
  <c r="P19" i="1"/>
  <c r="Q19" i="1"/>
  <c r="R19" i="1"/>
  <c r="S19" i="1"/>
  <c r="K20" i="1"/>
  <c r="L20" i="1"/>
  <c r="M20" i="1"/>
  <c r="N20" i="1"/>
  <c r="O20" i="1"/>
  <c r="P20" i="1"/>
  <c r="Q20" i="1"/>
  <c r="R20" i="1"/>
  <c r="S20" i="1"/>
  <c r="K21" i="1"/>
  <c r="L21" i="1"/>
  <c r="M21" i="1"/>
  <c r="N21" i="1"/>
  <c r="O21" i="1"/>
  <c r="P21" i="1"/>
  <c r="Q21" i="1"/>
  <c r="R21" i="1"/>
  <c r="S21" i="1"/>
  <c r="K22" i="1"/>
  <c r="L22" i="1"/>
  <c r="M22" i="1"/>
  <c r="N22" i="1"/>
  <c r="O22" i="1"/>
  <c r="P22" i="1"/>
  <c r="Q22" i="1"/>
  <c r="R22" i="1"/>
  <c r="S22" i="1"/>
  <c r="K23" i="1"/>
  <c r="L23" i="1"/>
  <c r="M23" i="1"/>
  <c r="N23" i="1"/>
  <c r="O23" i="1"/>
  <c r="P23" i="1"/>
  <c r="Q23" i="1"/>
  <c r="R23" i="1"/>
  <c r="S23" i="1"/>
  <c r="K24" i="1"/>
  <c r="L24" i="1"/>
  <c r="M24" i="1"/>
  <c r="N24" i="1"/>
  <c r="O24" i="1"/>
  <c r="P24" i="1"/>
  <c r="Q24" i="1"/>
  <c r="R24" i="1"/>
  <c r="S24" i="1"/>
  <c r="K25" i="1"/>
  <c r="L25" i="1"/>
  <c r="M25" i="1"/>
  <c r="N25" i="1"/>
  <c r="O25" i="1"/>
  <c r="P25" i="1"/>
  <c r="Q25" i="1"/>
  <c r="R25" i="1"/>
  <c r="S25" i="1"/>
  <c r="K26" i="1"/>
  <c r="L26" i="1"/>
  <c r="M26" i="1"/>
  <c r="N26" i="1"/>
  <c r="O26" i="1"/>
  <c r="P26" i="1"/>
  <c r="Q26" i="1"/>
  <c r="R26" i="1"/>
  <c r="S26" i="1"/>
  <c r="K27" i="1"/>
  <c r="L27" i="1"/>
  <c r="M27" i="1"/>
  <c r="N27" i="1"/>
  <c r="O27" i="1"/>
  <c r="P27" i="1"/>
  <c r="Q27" i="1"/>
  <c r="R27" i="1"/>
  <c r="S27" i="1"/>
  <c r="K28" i="1"/>
  <c r="L28" i="1"/>
  <c r="M28" i="1"/>
  <c r="N28" i="1"/>
  <c r="O28" i="1"/>
  <c r="P28" i="1"/>
  <c r="Q28" i="1"/>
  <c r="R28" i="1"/>
  <c r="S28" i="1"/>
  <c r="K29" i="1"/>
  <c r="L29" i="1"/>
  <c r="M29" i="1"/>
  <c r="N29" i="1"/>
  <c r="O29" i="1"/>
  <c r="P29" i="1"/>
  <c r="Q29" i="1"/>
  <c r="R29" i="1"/>
  <c r="S29" i="1"/>
  <c r="K30" i="1"/>
  <c r="L30" i="1"/>
  <c r="M30" i="1"/>
  <c r="N30" i="1"/>
  <c r="O30" i="1"/>
  <c r="P30" i="1"/>
  <c r="Q30" i="1"/>
  <c r="R30" i="1"/>
  <c r="S30" i="1"/>
  <c r="K31" i="1"/>
  <c r="L31" i="1"/>
  <c r="M31" i="1"/>
  <c r="N31" i="1"/>
  <c r="O31" i="1"/>
  <c r="P31" i="1"/>
  <c r="Q31" i="1"/>
  <c r="R31" i="1"/>
  <c r="S31" i="1"/>
  <c r="K32" i="1"/>
  <c r="L32" i="1"/>
  <c r="M32" i="1"/>
  <c r="N32" i="1"/>
  <c r="O32" i="1"/>
  <c r="P32" i="1"/>
  <c r="Q32" i="1"/>
  <c r="R32" i="1"/>
  <c r="S32" i="1"/>
  <c r="K33" i="1"/>
  <c r="L33" i="1"/>
  <c r="M33" i="1"/>
  <c r="N33" i="1"/>
  <c r="O33" i="1"/>
  <c r="P33" i="1"/>
  <c r="Q33" i="1"/>
  <c r="R33" i="1"/>
  <c r="S33" i="1"/>
  <c r="K34" i="1"/>
  <c r="L34" i="1"/>
  <c r="M34" i="1"/>
  <c r="N34" i="1"/>
  <c r="O34" i="1"/>
  <c r="P34" i="1"/>
  <c r="Q34" i="1"/>
  <c r="R34" i="1"/>
  <c r="S34" i="1"/>
  <c r="K35" i="1"/>
  <c r="L35" i="1"/>
  <c r="M35" i="1"/>
  <c r="N35" i="1"/>
  <c r="O35" i="1"/>
  <c r="P35" i="1"/>
  <c r="Q35" i="1"/>
  <c r="R35" i="1"/>
  <c r="S35" i="1"/>
  <c r="K36" i="1"/>
  <c r="L36" i="1"/>
  <c r="M36" i="1"/>
  <c r="N36" i="1"/>
  <c r="O36" i="1"/>
  <c r="P36" i="1"/>
  <c r="Q36" i="1"/>
  <c r="R36" i="1"/>
  <c r="S36" i="1"/>
  <c r="K37" i="1"/>
  <c r="L37" i="1"/>
  <c r="M37" i="1"/>
  <c r="N37" i="1"/>
  <c r="O37" i="1"/>
  <c r="P37" i="1"/>
  <c r="Q37" i="1"/>
  <c r="R37" i="1"/>
  <c r="S37" i="1"/>
  <c r="K38" i="1"/>
  <c r="L38" i="1"/>
  <c r="M38" i="1"/>
  <c r="N38" i="1"/>
  <c r="O38" i="1"/>
  <c r="P38" i="1"/>
  <c r="Q38" i="1"/>
  <c r="R38" i="1"/>
  <c r="S38" i="1"/>
  <c r="K39" i="1"/>
  <c r="L39" i="1"/>
  <c r="M39" i="1"/>
  <c r="N39" i="1"/>
  <c r="O39" i="1"/>
  <c r="P39" i="1"/>
  <c r="Q39" i="1"/>
  <c r="R39" i="1"/>
  <c r="S39" i="1"/>
  <c r="K40" i="1"/>
  <c r="L40" i="1"/>
  <c r="M40" i="1"/>
  <c r="N40" i="1"/>
  <c r="O40" i="1"/>
  <c r="P40" i="1"/>
  <c r="Q40" i="1"/>
  <c r="R40" i="1"/>
  <c r="S40" i="1"/>
  <c r="K41" i="1"/>
  <c r="L41" i="1"/>
  <c r="M41" i="1"/>
  <c r="N41" i="1"/>
  <c r="O41" i="1"/>
  <c r="P41" i="1"/>
  <c r="Q41" i="1"/>
  <c r="R41" i="1"/>
  <c r="S41" i="1"/>
  <c r="K42" i="1"/>
  <c r="L42" i="1"/>
  <c r="M42" i="1"/>
  <c r="N42" i="1"/>
  <c r="O42" i="1"/>
  <c r="P42" i="1"/>
  <c r="Q42" i="1"/>
  <c r="R42" i="1"/>
  <c r="S42" i="1"/>
  <c r="K43" i="1"/>
  <c r="L43" i="1"/>
  <c r="M43" i="1"/>
  <c r="N43" i="1"/>
  <c r="O43" i="1"/>
  <c r="P43" i="1"/>
  <c r="Q43" i="1"/>
  <c r="R43" i="1"/>
  <c r="S43" i="1"/>
  <c r="K44" i="1"/>
  <c r="L44" i="1"/>
  <c r="M44" i="1"/>
  <c r="N44" i="1"/>
  <c r="O44" i="1"/>
  <c r="P44" i="1"/>
  <c r="Q44" i="1"/>
  <c r="R44" i="1"/>
  <c r="S44" i="1"/>
  <c r="K45" i="1"/>
  <c r="L45" i="1"/>
  <c r="M45" i="1"/>
  <c r="N45" i="1"/>
  <c r="O45" i="1"/>
  <c r="P45" i="1"/>
  <c r="Q45" i="1"/>
  <c r="R45" i="1"/>
  <c r="S45" i="1"/>
  <c r="K46" i="1"/>
  <c r="L46" i="1"/>
  <c r="M46" i="1"/>
  <c r="N46" i="1"/>
  <c r="O46" i="1"/>
  <c r="P46" i="1"/>
  <c r="Q46" i="1"/>
  <c r="R46" i="1"/>
  <c r="S46" i="1"/>
  <c r="K47" i="1"/>
  <c r="L47" i="1"/>
  <c r="M47" i="1"/>
  <c r="N47" i="1"/>
  <c r="O47" i="1"/>
  <c r="P47" i="1"/>
  <c r="Q47" i="1"/>
  <c r="R47" i="1"/>
  <c r="S47" i="1"/>
  <c r="K48" i="1"/>
  <c r="L48" i="1"/>
  <c r="M48" i="1"/>
  <c r="N48" i="1"/>
  <c r="O48" i="1"/>
  <c r="P48" i="1"/>
  <c r="Q48" i="1"/>
  <c r="R48" i="1"/>
  <c r="S48" i="1"/>
  <c r="K49" i="1"/>
  <c r="L49" i="1"/>
  <c r="M49" i="1"/>
  <c r="N49" i="1"/>
  <c r="O49" i="1"/>
  <c r="P49" i="1"/>
  <c r="Q49" i="1"/>
  <c r="R49" i="1"/>
  <c r="S49" i="1"/>
  <c r="K50" i="1"/>
  <c r="L50" i="1"/>
  <c r="M50" i="1"/>
  <c r="N50" i="1"/>
  <c r="O50" i="1"/>
  <c r="P50" i="1"/>
  <c r="Q50" i="1"/>
  <c r="R50" i="1"/>
  <c r="S50" i="1"/>
  <c r="K51" i="1"/>
  <c r="L51" i="1"/>
  <c r="M51" i="1"/>
  <c r="N51" i="1"/>
  <c r="O51" i="1"/>
  <c r="P51" i="1"/>
  <c r="Q51" i="1"/>
  <c r="R51" i="1"/>
  <c r="S51" i="1"/>
  <c r="K52" i="1"/>
  <c r="L52" i="1"/>
  <c r="M52" i="1"/>
  <c r="N52" i="1"/>
  <c r="O52" i="1"/>
  <c r="P52" i="1"/>
  <c r="Q52" i="1"/>
  <c r="R52" i="1"/>
  <c r="S52" i="1"/>
  <c r="K53" i="1"/>
  <c r="L53" i="1"/>
  <c r="M53" i="1"/>
  <c r="N53" i="1"/>
  <c r="O53" i="1"/>
  <c r="P53" i="1"/>
  <c r="Q53" i="1"/>
  <c r="R53" i="1"/>
  <c r="S53" i="1"/>
  <c r="K54" i="1"/>
  <c r="L54" i="1"/>
  <c r="M54" i="1"/>
  <c r="N54" i="1"/>
  <c r="O54" i="1"/>
  <c r="P54" i="1"/>
  <c r="Q54" i="1"/>
  <c r="R54" i="1"/>
  <c r="S54" i="1"/>
  <c r="K55" i="1"/>
  <c r="L55" i="1"/>
  <c r="M55" i="1"/>
  <c r="N55" i="1"/>
  <c r="O55" i="1"/>
  <c r="P55" i="1"/>
  <c r="Q55" i="1"/>
  <c r="R55" i="1"/>
  <c r="S55" i="1"/>
  <c r="K56" i="1"/>
  <c r="L56" i="1"/>
  <c r="M56" i="1"/>
  <c r="N56" i="1"/>
  <c r="O56" i="1"/>
  <c r="P56" i="1"/>
  <c r="Q56" i="1"/>
  <c r="R56" i="1"/>
  <c r="S56" i="1"/>
  <c r="K57" i="1"/>
  <c r="L57" i="1"/>
  <c r="M57" i="1"/>
  <c r="N57" i="1"/>
  <c r="O57" i="1"/>
  <c r="P57" i="1"/>
  <c r="Q57" i="1"/>
  <c r="R57" i="1"/>
  <c r="S57" i="1"/>
  <c r="K58" i="1"/>
  <c r="L58" i="1"/>
  <c r="M58" i="1"/>
  <c r="N58" i="1"/>
  <c r="O58" i="1"/>
  <c r="P58" i="1"/>
  <c r="Q58" i="1"/>
  <c r="R58" i="1"/>
  <c r="S58" i="1"/>
  <c r="K59" i="1"/>
  <c r="L59" i="1"/>
  <c r="M59" i="1"/>
  <c r="N59" i="1"/>
  <c r="O59" i="1"/>
  <c r="P59" i="1"/>
  <c r="Q59" i="1"/>
  <c r="R59" i="1"/>
  <c r="S59" i="1"/>
  <c r="K60" i="1"/>
  <c r="L60" i="1"/>
  <c r="M60" i="1"/>
  <c r="N60" i="1"/>
  <c r="O60" i="1"/>
  <c r="P60" i="1"/>
  <c r="Q60" i="1"/>
  <c r="R60" i="1"/>
  <c r="S60" i="1"/>
  <c r="K61" i="1"/>
  <c r="L61" i="1"/>
  <c r="M61" i="1"/>
  <c r="N61" i="1"/>
  <c r="O61" i="1"/>
  <c r="P61" i="1"/>
  <c r="Q61" i="1"/>
  <c r="R61" i="1"/>
  <c r="S61" i="1"/>
  <c r="K62" i="1"/>
  <c r="L62" i="1"/>
  <c r="M62" i="1"/>
  <c r="N62" i="1"/>
  <c r="O62" i="1"/>
  <c r="P62" i="1"/>
  <c r="Q62" i="1"/>
  <c r="R62" i="1"/>
  <c r="S62" i="1"/>
  <c r="L63" i="1"/>
  <c r="M63" i="1"/>
  <c r="N63" i="1"/>
  <c r="O63" i="1"/>
  <c r="P63" i="1"/>
  <c r="Q63" i="1"/>
  <c r="R63" i="1"/>
  <c r="S63" i="1"/>
  <c r="K63" i="1"/>
  <c r="N22" i="2"/>
  <c r="B23" i="2"/>
  <c r="J14" i="2"/>
  <c r="I14" i="2"/>
  <c r="H14" i="2"/>
  <c r="G14" i="2"/>
  <c r="F14" i="2"/>
  <c r="E14" i="2"/>
  <c r="D14" i="2"/>
  <c r="C14" i="2"/>
  <c r="P65" i="1"/>
  <c r="P66" i="1" s="1"/>
  <c r="K8" i="4" s="1"/>
  <c r="K67" i="1"/>
  <c r="A20" i="4" l="1"/>
  <c r="B8" i="2" s="1"/>
  <c r="A20" i="2" s="1"/>
  <c r="A21" i="4"/>
  <c r="B9" i="2" s="1"/>
  <c r="A21" i="2" s="1"/>
  <c r="L65" i="1"/>
  <c r="L66" i="1" s="1"/>
  <c r="K4" i="4" s="1"/>
  <c r="A6" i="4"/>
  <c r="O65" i="1"/>
  <c r="O66" i="1" s="1"/>
  <c r="K7" i="4" s="1"/>
  <c r="F17" i="4" s="1"/>
  <c r="G5" i="2" s="1"/>
  <c r="G17" i="2" s="1"/>
  <c r="A3" i="4"/>
  <c r="R67" i="1"/>
  <c r="R65" i="1"/>
  <c r="R66" i="1" s="1"/>
  <c r="K10" i="4" s="1"/>
  <c r="Q67" i="1"/>
  <c r="A7" i="4"/>
  <c r="N65" i="1"/>
  <c r="N66" i="1" s="1"/>
  <c r="K6" i="4" s="1"/>
  <c r="D14" i="4"/>
  <c r="E2" i="2" s="1"/>
  <c r="E13" i="2" s="1"/>
  <c r="E2" i="3" s="1"/>
  <c r="A10" i="4"/>
  <c r="P67" i="1"/>
  <c r="S65" i="1"/>
  <c r="S66" i="1" s="1"/>
  <c r="L67" i="1"/>
  <c r="M67" i="1"/>
  <c r="O67" i="1"/>
  <c r="B16" i="4"/>
  <c r="C4" i="2" s="1"/>
  <c r="C16" i="2" s="1"/>
  <c r="H16" i="4"/>
  <c r="I4" i="2" s="1"/>
  <c r="I16" i="2" s="1"/>
  <c r="D17" i="4"/>
  <c r="E5" i="2" s="1"/>
  <c r="E17" i="2" s="1"/>
  <c r="H17" i="4"/>
  <c r="I5" i="2" s="1"/>
  <c r="I17" i="2" s="1"/>
  <c r="G16" i="4"/>
  <c r="H4" i="2" s="1"/>
  <c r="H16" i="2" s="1"/>
  <c r="C17" i="4"/>
  <c r="D5" i="2" s="1"/>
  <c r="D17" i="2" s="1"/>
  <c r="G17" i="4"/>
  <c r="H5" i="2" s="1"/>
  <c r="H17" i="2" s="1"/>
  <c r="F16" i="4" l="1"/>
  <c r="G4" i="2" s="1"/>
  <c r="G16" i="2" s="1"/>
  <c r="C16" i="4"/>
  <c r="D4" i="2" s="1"/>
  <c r="D16" i="2" s="1"/>
  <c r="D21" i="4"/>
  <c r="E9" i="2" s="1"/>
  <c r="E21" i="2" s="1"/>
  <c r="H21" i="4"/>
  <c r="I9" i="2" s="1"/>
  <c r="I21" i="2" s="1"/>
  <c r="B20" i="4"/>
  <c r="C8" i="2" s="1"/>
  <c r="C20" i="2" s="1"/>
  <c r="B21" i="4"/>
  <c r="C9" i="2" s="1"/>
  <c r="C21" i="2" s="1"/>
  <c r="C21" i="4"/>
  <c r="D9" i="2" s="1"/>
  <c r="D21" i="2" s="1"/>
  <c r="E20" i="4"/>
  <c r="F8" i="2" s="1"/>
  <c r="F20" i="2" s="1"/>
  <c r="I17" i="4"/>
  <c r="J5" i="2" s="1"/>
  <c r="J17" i="2" s="1"/>
  <c r="E16" i="4"/>
  <c r="F4" i="2" s="1"/>
  <c r="F16" i="2" s="1"/>
  <c r="G21" i="4"/>
  <c r="H9" i="2" s="1"/>
  <c r="H21" i="2" s="1"/>
  <c r="H20" i="4"/>
  <c r="I8" i="2" s="1"/>
  <c r="I20" i="2" s="1"/>
  <c r="G20" i="4"/>
  <c r="H8" i="2" s="1"/>
  <c r="H20" i="2" s="1"/>
  <c r="B17" i="4"/>
  <c r="C5" i="2" s="1"/>
  <c r="C17" i="2" s="1"/>
  <c r="C20" i="4"/>
  <c r="D8" i="2" s="1"/>
  <c r="D20" i="2" s="1"/>
  <c r="F20" i="4"/>
  <c r="G8" i="2" s="1"/>
  <c r="G20" i="2" s="1"/>
  <c r="E18" i="4"/>
  <c r="F6" i="2" s="1"/>
  <c r="F18" i="2" s="1"/>
  <c r="F21" i="4"/>
  <c r="G9" i="2" s="1"/>
  <c r="G21" i="2" s="1"/>
  <c r="I20" i="4"/>
  <c r="J8" i="2" s="1"/>
  <c r="J20" i="2" s="1"/>
  <c r="D16" i="4"/>
  <c r="E4" i="2" s="1"/>
  <c r="E16" i="2" s="1"/>
  <c r="E21" i="4"/>
  <c r="F9" i="2" s="1"/>
  <c r="F21" i="2" s="1"/>
  <c r="D20" i="4"/>
  <c r="E8" i="2" s="1"/>
  <c r="E20" i="2" s="1"/>
  <c r="A18" i="4"/>
  <c r="B6" i="2" s="1"/>
  <c r="A18" i="2" s="1"/>
  <c r="Q68" i="1"/>
  <c r="Q69" i="1" s="1"/>
  <c r="L9" i="4" s="1"/>
  <c r="F18" i="4"/>
  <c r="G6" i="2" s="1"/>
  <c r="G18" i="2" s="1"/>
  <c r="H15" i="4"/>
  <c r="I3" i="2" s="1"/>
  <c r="I15" i="2" s="1"/>
  <c r="F15" i="4"/>
  <c r="G3" i="2" s="1"/>
  <c r="G15" i="2" s="1"/>
  <c r="I15" i="4"/>
  <c r="J3" i="2" s="1"/>
  <c r="J15" i="2" s="1"/>
  <c r="A15" i="4"/>
  <c r="B3" i="2" s="1"/>
  <c r="A15" i="2" s="1"/>
  <c r="I21" i="4"/>
  <c r="J9" i="2" s="1"/>
  <c r="J21" i="2" s="1"/>
  <c r="I16" i="4"/>
  <c r="J4" i="2" s="1"/>
  <c r="J16" i="2" s="1"/>
  <c r="F19" i="4"/>
  <c r="G7" i="2" s="1"/>
  <c r="G19" i="2" s="1"/>
  <c r="H19" i="4"/>
  <c r="I7" i="2" s="1"/>
  <c r="I19" i="2" s="1"/>
  <c r="C19" i="4"/>
  <c r="D7" i="2" s="1"/>
  <c r="D19" i="2" s="1"/>
  <c r="A19" i="4"/>
  <c r="B7" i="2" s="1"/>
  <c r="A19" i="2" s="1"/>
  <c r="E17" i="4"/>
  <c r="F5" i="2" s="1"/>
  <c r="F17" i="2" s="1"/>
  <c r="B18" i="4"/>
  <c r="C6" i="2" s="1"/>
  <c r="C18" i="2" s="1"/>
  <c r="I22" i="4"/>
  <c r="J10" i="2" s="1"/>
  <c r="J22" i="2" s="1"/>
  <c r="H22" i="4"/>
  <c r="I10" i="2" s="1"/>
  <c r="I22" i="2" s="1"/>
  <c r="G22" i="4"/>
  <c r="H10" i="2" s="1"/>
  <c r="H22" i="2" s="1"/>
  <c r="B22" i="4"/>
  <c r="C10" i="2" s="1"/>
  <c r="C22" i="2" s="1"/>
  <c r="E22" i="4"/>
  <c r="F10" i="2" s="1"/>
  <c r="F22" i="2" s="1"/>
  <c r="A22" i="4"/>
  <c r="B10" i="2" s="1"/>
  <c r="A22" i="2" s="1"/>
  <c r="M68" i="1"/>
  <c r="M69" i="1" s="1"/>
  <c r="L5" i="4" s="1"/>
  <c r="S68" i="1"/>
  <c r="S69" i="1" s="1"/>
  <c r="R68" i="1"/>
  <c r="R69" i="1" s="1"/>
  <c r="L10" i="4" s="1"/>
  <c r="N68" i="1"/>
  <c r="N69" i="1" s="1"/>
  <c r="L6" i="4" s="1"/>
  <c r="O68" i="1"/>
  <c r="O69" i="1" s="1"/>
  <c r="L7" i="4" s="1"/>
  <c r="L68" i="1"/>
  <c r="L69" i="1" s="1"/>
  <c r="L4" i="4" s="1"/>
  <c r="P68" i="1"/>
  <c r="P69" i="1" s="1"/>
  <c r="L8" i="4" s="1"/>
  <c r="K68" i="1"/>
  <c r="K69" i="1" s="1"/>
  <c r="L3" i="4" s="1"/>
  <c r="B19" i="4" l="1"/>
  <c r="C7" i="2" s="1"/>
  <c r="C19" i="2" s="1"/>
  <c r="C18" i="4"/>
  <c r="D6" i="2" s="1"/>
  <c r="D18" i="2" s="1"/>
  <c r="G15" i="4"/>
  <c r="H3" i="2" s="1"/>
  <c r="H15" i="2" s="1"/>
  <c r="E15" i="4"/>
  <c r="F3" i="2" s="1"/>
  <c r="F15" i="2" s="1"/>
  <c r="G19" i="4"/>
  <c r="H7" i="2" s="1"/>
  <c r="H19" i="2" s="1"/>
  <c r="D15" i="4"/>
  <c r="E3" i="2" s="1"/>
  <c r="E15" i="2" s="1"/>
  <c r="D22" i="4"/>
  <c r="E10" i="2" s="1"/>
  <c r="E22" i="2" s="1"/>
  <c r="H18" i="4"/>
  <c r="I6" i="2" s="1"/>
  <c r="I18" i="2" s="1"/>
  <c r="I19" i="4"/>
  <c r="J7" i="2" s="1"/>
  <c r="J19" i="2" s="1"/>
  <c r="C22" i="4"/>
  <c r="D10" i="2" s="1"/>
  <c r="D22" i="2" s="1"/>
  <c r="G18" i="4"/>
  <c r="H6" i="2" s="1"/>
  <c r="H18" i="2" s="1"/>
  <c r="F22" i="4"/>
  <c r="G10" i="2" s="1"/>
  <c r="G22" i="2" s="1"/>
  <c r="E19" i="4"/>
  <c r="F7" i="2" s="1"/>
  <c r="F19" i="2" s="1"/>
  <c r="B15" i="4"/>
  <c r="C3" i="2" s="1"/>
  <c r="C15" i="2" s="1"/>
  <c r="I18" i="4"/>
  <c r="J6" i="2" s="1"/>
  <c r="J18" i="2" s="1"/>
  <c r="D18" i="4"/>
  <c r="E6" i="2" s="1"/>
  <c r="E18" i="2" s="1"/>
  <c r="D19" i="4"/>
  <c r="E7" i="2" s="1"/>
  <c r="E19" i="2" s="1"/>
  <c r="C15" i="4"/>
  <c r="D3" i="2" s="1"/>
  <c r="D15" i="2" s="1"/>
  <c r="B27" i="2"/>
  <c r="M12" i="2" s="1"/>
  <c r="M17" i="2" s="1"/>
  <c r="B25" i="2" l="1"/>
  <c r="B26" i="2" s="1"/>
  <c r="M23" i="2" s="1"/>
  <c r="M24" i="2" s="1"/>
  <c r="N23" i="2"/>
  <c r="N24" i="2" s="1"/>
  <c r="M13" i="2" l="1"/>
  <c r="M14" i="2" s="1"/>
  <c r="M18" i="2" l="1"/>
  <c r="M19" i="2" s="1"/>
</calcChain>
</file>

<file path=xl/sharedStrings.xml><?xml version="1.0" encoding="utf-8"?>
<sst xmlns="http://schemas.openxmlformats.org/spreadsheetml/2006/main" count="49" uniqueCount="47">
  <si>
    <t>AAPL</t>
  </si>
  <si>
    <t>DIS</t>
  </si>
  <si>
    <t>MRK</t>
  </si>
  <si>
    <t>XOM</t>
  </si>
  <si>
    <t>PRICES</t>
  </si>
  <si>
    <t>RETURNS</t>
  </si>
  <si>
    <t>Date</t>
  </si>
  <si>
    <t>S&amp;P</t>
  </si>
  <si>
    <t>Monthly Standard Deviation</t>
  </si>
  <si>
    <t>Annualized Standard Deviation</t>
  </si>
  <si>
    <t>Correlation with S&amp;P</t>
  </si>
  <si>
    <t>Beta</t>
  </si>
  <si>
    <t>Expected Return</t>
  </si>
  <si>
    <t>Rf</t>
  </si>
  <si>
    <t>Rm-Rf</t>
  </si>
  <si>
    <t>Stand Dev</t>
  </si>
  <si>
    <t>Var/Cov Matrix</t>
  </si>
  <si>
    <t>Correlation Matrix</t>
  </si>
  <si>
    <t>weights</t>
  </si>
  <si>
    <t>Weighted Var/Cov Matrix</t>
  </si>
  <si>
    <t>Port. Var</t>
  </si>
  <si>
    <t>Port. S.D.</t>
  </si>
  <si>
    <t>Port. E(R.)</t>
  </si>
  <si>
    <t>Sum</t>
  </si>
  <si>
    <t>Expect. Ret.</t>
  </si>
  <si>
    <t>Stand. Dev.</t>
  </si>
  <si>
    <t>Utility</t>
  </si>
  <si>
    <t>100% Rf</t>
  </si>
  <si>
    <t>A</t>
  </si>
  <si>
    <t>S.D.</t>
  </si>
  <si>
    <t>Exp. Ret.</t>
  </si>
  <si>
    <t>Efficient Frontier</t>
  </si>
  <si>
    <t>Wt in MVE</t>
  </si>
  <si>
    <t>Exp Ret Optimal</t>
  </si>
  <si>
    <t>SD Optimal</t>
  </si>
  <si>
    <t>100% MVE</t>
  </si>
  <si>
    <t>MVE E(R.)</t>
  </si>
  <si>
    <t>MVE S.D.</t>
  </si>
  <si>
    <t>MVE Sharpe</t>
  </si>
  <si>
    <t>250% MVE</t>
  </si>
  <si>
    <t>MVE Capital Allocation Line</t>
  </si>
  <si>
    <t>Finding MVE and Maximizing Utility</t>
  </si>
  <si>
    <t>Expect Ret</t>
  </si>
  <si>
    <t>PRU</t>
  </si>
  <si>
    <t>GE</t>
  </si>
  <si>
    <t>PZZA</t>
  </si>
  <si>
    <t>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</si>
</sst>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0" fontId="1" fillId="0" borderId="0" xfId="1" applyNumberFormat="1" applyFont="1"/>
    <xf numFmtId="17" fontId="0" fillId="0" borderId="0" xfId="0" applyNumberFormat="1"/>
    <xf numFmtId="9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164" fontId="0" fillId="0" borderId="0" xfId="0" applyNumberFormat="1"/>
    <xf numFmtId="0" fontId="0" fillId="0" borderId="0" xfId="0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1" xfId="0" applyBorder="1"/>
    <xf numFmtId="165" fontId="0" fillId="0" borderId="0" xfId="0" applyNumberFormat="1"/>
    <xf numFmtId="0" fontId="0" fillId="0" borderId="0" xfId="0" applyFill="1" applyBorder="1"/>
    <xf numFmtId="0" fontId="0" fillId="0" borderId="2" xfId="0" applyBorder="1"/>
    <xf numFmtId="0" fontId="0" fillId="0" borderId="3" xfId="0" applyBorder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10" fontId="1" fillId="0" borderId="1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ont="1"/>
    <xf numFmtId="10" fontId="1" fillId="2" borderId="0" xfId="1" applyNumberFormat="1" applyFont="1" applyFill="1"/>
    <xf numFmtId="10" fontId="1" fillId="3" borderId="0" xfId="1" applyNumberFormat="1" applyFont="1" applyFill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0" fontId="1" fillId="0" borderId="0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Portfolio Efficient Frontier </a:t>
            </a:r>
          </a:p>
        </c:rich>
      </c:tx>
      <c:layout>
        <c:manualLayout>
          <c:xMode val="edge"/>
          <c:yMode val="edge"/>
          <c:x val="0.32369942196531792"/>
          <c:y val="2.982109994871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3371868978806"/>
          <c:y val="0.15705775283836648"/>
          <c:w val="0.7890173410404614"/>
          <c:h val="0.48906560636182944"/>
        </c:manualLayout>
      </c:layout>
      <c:scatterChart>
        <c:scatterStyle val="smoothMarker"/>
        <c:varyColors val="0"/>
        <c:ser>
          <c:idx val="0"/>
          <c:order val="0"/>
          <c:tx>
            <c:v>Efficient Frontier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'Efficient Frontier'!$B$3:$B$14</c:f>
              <c:numCache>
                <c:formatCode>0.00%</c:formatCode>
                <c:ptCount val="12"/>
                <c:pt idx="0">
                  <c:v>0.18481268635684531</c:v>
                </c:pt>
                <c:pt idx="1">
                  <c:v>0.16027931265805456</c:v>
                </c:pt>
                <c:pt idx="2">
                  <c:v>0.13870311641229977</c:v>
                </c:pt>
                <c:pt idx="3">
                  <c:v>0.12166767146044984</c:v>
                </c:pt>
                <c:pt idx="4">
                  <c:v>0.11127830603721106</c:v>
                </c:pt>
                <c:pt idx="5">
                  <c:v>0.10944437788298432</c:v>
                </c:pt>
                <c:pt idx="6">
                  <c:v>0.11657038065331507</c:v>
                </c:pt>
                <c:pt idx="7">
                  <c:v>0.13120444649818869</c:v>
                </c:pt>
                <c:pt idx="8">
                  <c:v>0.1511817821561684</c:v>
                </c:pt>
                <c:pt idx="9">
                  <c:v>0.17467863942313189</c:v>
                </c:pt>
                <c:pt idx="10">
                  <c:v>0.20046120339590826</c:v>
                </c:pt>
                <c:pt idx="11">
                  <c:v>0.22775454489352032</c:v>
                </c:pt>
              </c:numCache>
            </c:numRef>
          </c:xVal>
          <c:yVal>
            <c:numRef>
              <c:f>'Efficient Frontier'!$A$3:$A$14</c:f>
              <c:numCache>
                <c:formatCode>0%</c:formatCode>
                <c:ptCount val="12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  <c:pt idx="11">
                  <c:v>0.13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3B-4B59-A016-2BB0E3474B47}"/>
            </c:ext>
          </c:extLst>
        </c:ser>
        <c:ser>
          <c:idx val="1"/>
          <c:order val="1"/>
          <c:tx>
            <c:strRef>
              <c:f>Returns!$K$2</c:f>
              <c:strCache>
                <c:ptCount val="1"/>
                <c:pt idx="0">
                  <c:v>PZZA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Returns!$K$66</c:f>
              <c:numCache>
                <c:formatCode>0.00%</c:formatCode>
                <c:ptCount val="1"/>
                <c:pt idx="0">
                  <c:v>0.24447517364598606</c:v>
                </c:pt>
              </c:numCache>
            </c:numRef>
          </c:xVal>
          <c:yVal>
            <c:numRef>
              <c:f>Returns!$K$69</c:f>
              <c:numCache>
                <c:formatCode>0.00%</c:formatCode>
                <c:ptCount val="1"/>
                <c:pt idx="0">
                  <c:v>4.3559684658390198E-2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3B-4B59-A016-2BB0E3474B47}"/>
            </c:ext>
          </c:extLst>
        </c:ser>
        <c:ser>
          <c:idx val="2"/>
          <c:order val="2"/>
          <c:tx>
            <c:strRef>
              <c:f>Returns!$L$2</c:f>
              <c:strCache>
                <c:ptCount val="1"/>
                <c:pt idx="0">
                  <c:v>AAPL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Returns!$L$66</c:f>
              <c:numCache>
                <c:formatCode>0.00%</c:formatCode>
                <c:ptCount val="1"/>
                <c:pt idx="0">
                  <c:v>0.24471937675043184</c:v>
                </c:pt>
              </c:numCache>
            </c:numRef>
          </c:xVal>
          <c:yVal>
            <c:numRef>
              <c:f>Returns!$L$69</c:f>
              <c:numCache>
                <c:formatCode>0.00%</c:formatCode>
                <c:ptCount val="1"/>
                <c:pt idx="0">
                  <c:v>8.1061709639563523E-2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3B-4B59-A016-2BB0E3474B47}"/>
            </c:ext>
          </c:extLst>
        </c:ser>
        <c:ser>
          <c:idx val="3"/>
          <c:order val="3"/>
          <c:tx>
            <c:strRef>
              <c:f>Returns!$M$2</c:f>
              <c:strCache>
                <c:ptCount val="1"/>
                <c:pt idx="0">
                  <c:v>PRU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Returns!$M$66</c:f>
              <c:numCache>
                <c:formatCode>0.00%</c:formatCode>
                <c:ptCount val="1"/>
                <c:pt idx="0">
                  <c:v>0.25832193393554959</c:v>
                </c:pt>
              </c:numCache>
            </c:numRef>
          </c:xVal>
          <c:yVal>
            <c:numRef>
              <c:f>Returns!$M$69</c:f>
              <c:numCache>
                <c:formatCode>0.00%</c:formatCode>
                <c:ptCount val="1"/>
                <c:pt idx="0">
                  <c:v>0.12561265185693549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23B-4B59-A016-2BB0E3474B47}"/>
            </c:ext>
          </c:extLst>
        </c:ser>
        <c:ser>
          <c:idx val="4"/>
          <c:order val="4"/>
          <c:tx>
            <c:strRef>
              <c:f>Returns!$N$2</c:f>
              <c:strCache>
                <c:ptCount val="1"/>
                <c:pt idx="0">
                  <c:v>DIS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Returns!$N$66</c:f>
              <c:numCache>
                <c:formatCode>0.00%</c:formatCode>
                <c:ptCount val="1"/>
                <c:pt idx="0">
                  <c:v>0.20661459469488988</c:v>
                </c:pt>
              </c:numCache>
            </c:numRef>
          </c:xVal>
          <c:yVal>
            <c:numRef>
              <c:f>Returns!$N$69</c:f>
              <c:numCache>
                <c:formatCode>0.00%</c:formatCode>
                <c:ptCount val="1"/>
                <c:pt idx="0">
                  <c:v>0.11076477636064749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23B-4B59-A016-2BB0E3474B47}"/>
            </c:ext>
          </c:extLst>
        </c:ser>
        <c:ser>
          <c:idx val="5"/>
          <c:order val="5"/>
          <c:tx>
            <c:strRef>
              <c:f>Returns!$O$2</c:f>
              <c:strCache>
                <c:ptCount val="1"/>
                <c:pt idx="0">
                  <c:v>GE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Returns!$O$66</c:f>
              <c:numCache>
                <c:formatCode>0.00%</c:formatCode>
                <c:ptCount val="1"/>
                <c:pt idx="0">
                  <c:v>0.19006955333293893</c:v>
                </c:pt>
              </c:numCache>
            </c:numRef>
          </c:xVal>
          <c:yVal>
            <c:numRef>
              <c:f>Returns!$O$69</c:f>
              <c:numCache>
                <c:formatCode>0.00%</c:formatCode>
                <c:ptCount val="1"/>
                <c:pt idx="0">
                  <c:v>9.7932724382822731E-2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23B-4B59-A016-2BB0E3474B47}"/>
            </c:ext>
          </c:extLst>
        </c:ser>
        <c:ser>
          <c:idx val="6"/>
          <c:order val="6"/>
          <c:tx>
            <c:strRef>
              <c:f>Returns!$P$2</c:f>
              <c:strCache>
                <c:ptCount val="1"/>
                <c:pt idx="0">
                  <c:v>MRK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Returns!$P$66</c:f>
              <c:numCache>
                <c:formatCode>0.00%</c:formatCode>
                <c:ptCount val="1"/>
                <c:pt idx="0">
                  <c:v>0.16249095759080276</c:v>
                </c:pt>
              </c:numCache>
            </c:numRef>
          </c:xVal>
          <c:yVal>
            <c:numRef>
              <c:f>Returns!$P$69</c:f>
              <c:numCache>
                <c:formatCode>0.00%</c:formatCode>
                <c:ptCount val="1"/>
                <c:pt idx="0">
                  <c:v>6.5154657449468745E-2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23B-4B59-A016-2BB0E3474B47}"/>
            </c:ext>
          </c:extLst>
        </c:ser>
        <c:ser>
          <c:idx val="7"/>
          <c:order val="7"/>
          <c:tx>
            <c:strRef>
              <c:f>Returns!$Q$2</c:f>
              <c:strCache>
                <c:ptCount val="1"/>
                <c:pt idx="0">
                  <c:v>XOM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Returns!$Q$66</c:f>
              <c:numCache>
                <c:formatCode>0.00%</c:formatCode>
                <c:ptCount val="1"/>
                <c:pt idx="0">
                  <c:v>0.15502770858724449</c:v>
                </c:pt>
              </c:numCache>
            </c:numRef>
          </c:xVal>
          <c:yVal>
            <c:numRef>
              <c:f>Returns!$Q$69</c:f>
              <c:numCache>
                <c:formatCode>0.00%</c:formatCode>
                <c:ptCount val="1"/>
                <c:pt idx="0">
                  <c:v>8.3851345447128078E-2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23B-4B59-A016-2BB0E3474B47}"/>
            </c:ext>
          </c:extLst>
        </c:ser>
        <c:ser>
          <c:idx val="8"/>
          <c:order val="8"/>
          <c:tx>
            <c:strRef>
              <c:f>Returns!$R$2</c:f>
              <c:strCache>
                <c:ptCount val="1"/>
                <c:pt idx="0">
                  <c:v>UAL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Returns!$R$66</c:f>
              <c:numCache>
                <c:formatCode>0.00%</c:formatCode>
                <c:ptCount val="1"/>
                <c:pt idx="0">
                  <c:v>0.33339549589204093</c:v>
                </c:pt>
              </c:numCache>
            </c:numRef>
          </c:xVal>
          <c:yVal>
            <c:numRef>
              <c:f>Returns!$R$69</c:f>
              <c:numCache>
                <c:formatCode>0.00%</c:formatCode>
                <c:ptCount val="1"/>
                <c:pt idx="0">
                  <c:v>4.8979230136672651E-2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23B-4B59-A016-2BB0E3474B47}"/>
            </c:ext>
          </c:extLst>
        </c:ser>
        <c:ser>
          <c:idx val="12"/>
          <c:order val="9"/>
          <c:tx>
            <c:v>Sharpe Max</c:v>
          </c:tx>
          <c:xVal>
            <c:numRef>
              <c:f>'Covar Matrix'!$B$26</c:f>
              <c:numCache>
                <c:formatCode>0.00%</c:formatCode>
                <c:ptCount val="1"/>
                <c:pt idx="0">
                  <c:v>0.14875110783121642</c:v>
                </c:pt>
              </c:numCache>
            </c:numRef>
          </c:xVal>
          <c:yVal>
            <c:numRef>
              <c:f>'Covar Matrix'!$B$27</c:f>
              <c:numCache>
                <c:formatCode>0.00%</c:formatCode>
                <c:ptCount val="1"/>
                <c:pt idx="0">
                  <c:v>9.8884684656477428E-2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23B-4B59-A016-2BB0E3474B47}"/>
            </c:ext>
          </c:extLst>
        </c:ser>
        <c:ser>
          <c:idx val="9"/>
          <c:order val="10"/>
          <c:tx>
            <c:strRef>
              <c:f>Returns!$S$2</c:f>
              <c:strCache>
                <c:ptCount val="1"/>
                <c:pt idx="0">
                  <c:v>S&amp;P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Returns!$S$66</c:f>
              <c:numCache>
                <c:formatCode>0.00%</c:formatCode>
                <c:ptCount val="1"/>
                <c:pt idx="0">
                  <c:v>0.1162121891959508</c:v>
                </c:pt>
              </c:numCache>
            </c:numRef>
          </c:xVal>
          <c:yVal>
            <c:numRef>
              <c:f>Returns!$S$69</c:f>
              <c:numCache>
                <c:formatCode>0.00%</c:formatCode>
                <c:ptCount val="1"/>
                <c:pt idx="0">
                  <c:v>8.6999999999999994E-2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23B-4B59-A016-2BB0E3474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475392"/>
        <c:axId val="246568064"/>
      </c:scatterChart>
      <c:valAx>
        <c:axId val="246475392"/>
        <c:scaling>
          <c:orientation val="minMax"/>
          <c:max val="0.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Standard Deviation</a:t>
                </a:r>
              </a:p>
            </c:rich>
          </c:tx>
          <c:layout>
            <c:manualLayout>
              <c:xMode val="edge"/>
              <c:yMode val="edge"/>
              <c:x val="0.42341040462427748"/>
              <c:y val="0.70974145473195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568064"/>
        <c:crosses val="autoZero"/>
        <c:crossBetween val="midCat"/>
      </c:valAx>
      <c:valAx>
        <c:axId val="246568064"/>
        <c:scaling>
          <c:orientation val="minMax"/>
          <c:max val="0.14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Expected Return </a:t>
                </a:r>
              </a:p>
            </c:rich>
          </c:tx>
          <c:layout>
            <c:manualLayout>
              <c:xMode val="edge"/>
              <c:yMode val="edge"/>
              <c:x val="2.1676300578034682E-2"/>
              <c:y val="0.2564612182097927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4753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346820809248555E-2"/>
          <c:y val="0.77622891966090446"/>
          <c:w val="0.81610789980732179"/>
          <c:h val="0.19822829617562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Portfolio Efficient Frontier with MVE</a:t>
            </a:r>
            <a:r>
              <a:rPr lang="en-US" baseline="0"/>
              <a:t> and its CAL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17341040462427745"/>
          <c:y val="3.492965678140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3371868978806"/>
          <c:y val="0.15705775283836648"/>
          <c:w val="0.7890173410404614"/>
          <c:h val="0.48906560636182944"/>
        </c:manualLayout>
      </c:layout>
      <c:scatterChart>
        <c:scatterStyle val="smoothMarker"/>
        <c:varyColors val="0"/>
        <c:ser>
          <c:idx val="0"/>
          <c:order val="0"/>
          <c:tx>
            <c:v>Efficient Frontier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'Efficient Frontier'!$B$3:$B$14</c:f>
              <c:numCache>
                <c:formatCode>0.00%</c:formatCode>
                <c:ptCount val="12"/>
                <c:pt idx="0">
                  <c:v>0.18481268635684531</c:v>
                </c:pt>
                <c:pt idx="1">
                  <c:v>0.16027931265805456</c:v>
                </c:pt>
                <c:pt idx="2">
                  <c:v>0.13870311641229977</c:v>
                </c:pt>
                <c:pt idx="3">
                  <c:v>0.12166767146044984</c:v>
                </c:pt>
                <c:pt idx="4">
                  <c:v>0.11127830603721106</c:v>
                </c:pt>
                <c:pt idx="5">
                  <c:v>0.10944437788298432</c:v>
                </c:pt>
                <c:pt idx="6">
                  <c:v>0.11657038065331507</c:v>
                </c:pt>
                <c:pt idx="7">
                  <c:v>0.13120444649818869</c:v>
                </c:pt>
                <c:pt idx="8">
                  <c:v>0.1511817821561684</c:v>
                </c:pt>
                <c:pt idx="9">
                  <c:v>0.17467863942313189</c:v>
                </c:pt>
                <c:pt idx="10">
                  <c:v>0.20046120339590826</c:v>
                </c:pt>
                <c:pt idx="11">
                  <c:v>0.22775454489352032</c:v>
                </c:pt>
              </c:numCache>
            </c:numRef>
          </c:xVal>
          <c:yVal>
            <c:numRef>
              <c:f>'Efficient Frontier'!$A$3:$A$14</c:f>
              <c:numCache>
                <c:formatCode>0%</c:formatCode>
                <c:ptCount val="12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  <c:pt idx="11">
                  <c:v>0.13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F6-47FC-85CE-563B69108A97}"/>
            </c:ext>
          </c:extLst>
        </c:ser>
        <c:ser>
          <c:idx val="1"/>
          <c:order val="1"/>
          <c:tx>
            <c:strRef>
              <c:f>Returns!$K$2</c:f>
              <c:strCache>
                <c:ptCount val="1"/>
                <c:pt idx="0">
                  <c:v>PZZA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Returns!$K$66</c:f>
              <c:numCache>
                <c:formatCode>0.00%</c:formatCode>
                <c:ptCount val="1"/>
                <c:pt idx="0">
                  <c:v>0.24447517364598606</c:v>
                </c:pt>
              </c:numCache>
            </c:numRef>
          </c:xVal>
          <c:yVal>
            <c:numRef>
              <c:f>Returns!$K$69</c:f>
              <c:numCache>
                <c:formatCode>0.00%</c:formatCode>
                <c:ptCount val="1"/>
                <c:pt idx="0">
                  <c:v>4.3559684658390198E-2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F6-47FC-85CE-563B69108A97}"/>
            </c:ext>
          </c:extLst>
        </c:ser>
        <c:ser>
          <c:idx val="2"/>
          <c:order val="2"/>
          <c:tx>
            <c:strRef>
              <c:f>Returns!$L$2</c:f>
              <c:strCache>
                <c:ptCount val="1"/>
                <c:pt idx="0">
                  <c:v>AAPL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Returns!$L$66</c:f>
              <c:numCache>
                <c:formatCode>0.00%</c:formatCode>
                <c:ptCount val="1"/>
                <c:pt idx="0">
                  <c:v>0.24471937675043184</c:v>
                </c:pt>
              </c:numCache>
            </c:numRef>
          </c:xVal>
          <c:yVal>
            <c:numRef>
              <c:f>Returns!$L$69</c:f>
              <c:numCache>
                <c:formatCode>0.00%</c:formatCode>
                <c:ptCount val="1"/>
                <c:pt idx="0">
                  <c:v>8.1061709639563523E-2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F6-47FC-85CE-563B69108A97}"/>
            </c:ext>
          </c:extLst>
        </c:ser>
        <c:ser>
          <c:idx val="3"/>
          <c:order val="3"/>
          <c:tx>
            <c:strRef>
              <c:f>Returns!$M$2</c:f>
              <c:strCache>
                <c:ptCount val="1"/>
                <c:pt idx="0">
                  <c:v>PRU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Returns!$M$66</c:f>
              <c:numCache>
                <c:formatCode>0.00%</c:formatCode>
                <c:ptCount val="1"/>
                <c:pt idx="0">
                  <c:v>0.25832193393554959</c:v>
                </c:pt>
              </c:numCache>
            </c:numRef>
          </c:xVal>
          <c:yVal>
            <c:numRef>
              <c:f>Returns!$M$69</c:f>
              <c:numCache>
                <c:formatCode>0.00%</c:formatCode>
                <c:ptCount val="1"/>
                <c:pt idx="0">
                  <c:v>0.12561265185693549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F6-47FC-85CE-563B69108A97}"/>
            </c:ext>
          </c:extLst>
        </c:ser>
        <c:ser>
          <c:idx val="4"/>
          <c:order val="4"/>
          <c:tx>
            <c:strRef>
              <c:f>Returns!$N$2</c:f>
              <c:strCache>
                <c:ptCount val="1"/>
                <c:pt idx="0">
                  <c:v>DIS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Returns!$N$66</c:f>
              <c:numCache>
                <c:formatCode>0.00%</c:formatCode>
                <c:ptCount val="1"/>
                <c:pt idx="0">
                  <c:v>0.20661459469488988</c:v>
                </c:pt>
              </c:numCache>
            </c:numRef>
          </c:xVal>
          <c:yVal>
            <c:numRef>
              <c:f>Returns!$N$69</c:f>
              <c:numCache>
                <c:formatCode>0.00%</c:formatCode>
                <c:ptCount val="1"/>
                <c:pt idx="0">
                  <c:v>0.11076477636064749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EF6-47FC-85CE-563B69108A97}"/>
            </c:ext>
          </c:extLst>
        </c:ser>
        <c:ser>
          <c:idx val="5"/>
          <c:order val="5"/>
          <c:tx>
            <c:strRef>
              <c:f>Returns!$O$2</c:f>
              <c:strCache>
                <c:ptCount val="1"/>
                <c:pt idx="0">
                  <c:v>GE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Returns!$O$66</c:f>
              <c:numCache>
                <c:formatCode>0.00%</c:formatCode>
                <c:ptCount val="1"/>
                <c:pt idx="0">
                  <c:v>0.19006955333293893</c:v>
                </c:pt>
              </c:numCache>
            </c:numRef>
          </c:xVal>
          <c:yVal>
            <c:numRef>
              <c:f>Returns!$O$69</c:f>
              <c:numCache>
                <c:formatCode>0.00%</c:formatCode>
                <c:ptCount val="1"/>
                <c:pt idx="0">
                  <c:v>9.7932724382822731E-2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EF6-47FC-85CE-563B69108A97}"/>
            </c:ext>
          </c:extLst>
        </c:ser>
        <c:ser>
          <c:idx val="6"/>
          <c:order val="6"/>
          <c:tx>
            <c:strRef>
              <c:f>Returns!$P$2</c:f>
              <c:strCache>
                <c:ptCount val="1"/>
                <c:pt idx="0">
                  <c:v>MRK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Returns!$P$66</c:f>
              <c:numCache>
                <c:formatCode>0.00%</c:formatCode>
                <c:ptCount val="1"/>
                <c:pt idx="0">
                  <c:v>0.16249095759080276</c:v>
                </c:pt>
              </c:numCache>
            </c:numRef>
          </c:xVal>
          <c:yVal>
            <c:numRef>
              <c:f>Returns!$P$69</c:f>
              <c:numCache>
                <c:formatCode>0.00%</c:formatCode>
                <c:ptCount val="1"/>
                <c:pt idx="0">
                  <c:v>6.5154657449468745E-2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EF6-47FC-85CE-563B69108A97}"/>
            </c:ext>
          </c:extLst>
        </c:ser>
        <c:ser>
          <c:idx val="7"/>
          <c:order val="7"/>
          <c:tx>
            <c:strRef>
              <c:f>Returns!$Q$2</c:f>
              <c:strCache>
                <c:ptCount val="1"/>
                <c:pt idx="0">
                  <c:v>XOM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Returns!$Q$66</c:f>
              <c:numCache>
                <c:formatCode>0.00%</c:formatCode>
                <c:ptCount val="1"/>
                <c:pt idx="0">
                  <c:v>0.15502770858724449</c:v>
                </c:pt>
              </c:numCache>
            </c:numRef>
          </c:xVal>
          <c:yVal>
            <c:numRef>
              <c:f>Returns!$Q$69</c:f>
              <c:numCache>
                <c:formatCode>0.00%</c:formatCode>
                <c:ptCount val="1"/>
                <c:pt idx="0">
                  <c:v>8.3851345447128078E-2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EF6-47FC-85CE-563B69108A97}"/>
            </c:ext>
          </c:extLst>
        </c:ser>
        <c:ser>
          <c:idx val="8"/>
          <c:order val="8"/>
          <c:tx>
            <c:strRef>
              <c:f>Returns!$R$2</c:f>
              <c:strCache>
                <c:ptCount val="1"/>
                <c:pt idx="0">
                  <c:v>UAL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Returns!$R$66</c:f>
              <c:numCache>
                <c:formatCode>0.00%</c:formatCode>
                <c:ptCount val="1"/>
                <c:pt idx="0">
                  <c:v>0.33339549589204093</c:v>
                </c:pt>
              </c:numCache>
            </c:numRef>
          </c:xVal>
          <c:yVal>
            <c:numRef>
              <c:f>Returns!$R$69</c:f>
              <c:numCache>
                <c:formatCode>0.00%</c:formatCode>
                <c:ptCount val="1"/>
                <c:pt idx="0">
                  <c:v>4.8979230136672651E-2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EF6-47FC-85CE-563B69108A97}"/>
            </c:ext>
          </c:extLst>
        </c:ser>
        <c:ser>
          <c:idx val="12"/>
          <c:order val="9"/>
          <c:tx>
            <c:v>Sharpe Max</c:v>
          </c:tx>
          <c:xVal>
            <c:numRef>
              <c:f>'Covar Matrix'!$B$26</c:f>
              <c:numCache>
                <c:formatCode>0.00%</c:formatCode>
                <c:ptCount val="1"/>
                <c:pt idx="0">
                  <c:v>0.14875110783121642</c:v>
                </c:pt>
              </c:numCache>
            </c:numRef>
          </c:xVal>
          <c:yVal>
            <c:numRef>
              <c:f>'Covar Matrix'!$B$27</c:f>
              <c:numCache>
                <c:formatCode>0.00%</c:formatCode>
                <c:ptCount val="1"/>
                <c:pt idx="0">
                  <c:v>9.8884684656477428E-2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EF6-47FC-85CE-563B69108A97}"/>
            </c:ext>
          </c:extLst>
        </c:ser>
        <c:ser>
          <c:idx val="9"/>
          <c:order val="10"/>
          <c:tx>
            <c:strRef>
              <c:f>Returns!$S$2</c:f>
              <c:strCache>
                <c:ptCount val="1"/>
                <c:pt idx="0">
                  <c:v>S&amp;P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Returns!$S$66</c:f>
              <c:numCache>
                <c:formatCode>0.00%</c:formatCode>
                <c:ptCount val="1"/>
                <c:pt idx="0">
                  <c:v>0.1162121891959508</c:v>
                </c:pt>
              </c:numCache>
            </c:numRef>
          </c:xVal>
          <c:yVal>
            <c:numRef>
              <c:f>Returns!$S$69</c:f>
              <c:numCache>
                <c:formatCode>0.00%</c:formatCode>
                <c:ptCount val="1"/>
                <c:pt idx="0">
                  <c:v>8.6999999999999994E-2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2EF6-47FC-85CE-563B69108A97}"/>
            </c:ext>
          </c:extLst>
        </c:ser>
        <c:ser>
          <c:idx val="10"/>
          <c:order val="11"/>
          <c:tx>
            <c:v>CAL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'Covar Matrix'!$M$22:$M$24</c:f>
              <c:numCache>
                <c:formatCode>0.00%</c:formatCode>
                <c:ptCount val="3"/>
                <c:pt idx="0" formatCode="0%">
                  <c:v>0</c:v>
                </c:pt>
                <c:pt idx="1">
                  <c:v>0.14875110783121642</c:v>
                </c:pt>
                <c:pt idx="2">
                  <c:v>0.37187776957804108</c:v>
                </c:pt>
              </c:numCache>
            </c:numRef>
          </c:xVal>
          <c:yVal>
            <c:numRef>
              <c:f>'Covar Matrix'!$N$22:$N$24</c:f>
              <c:numCache>
                <c:formatCode>0.000%</c:formatCode>
                <c:ptCount val="3"/>
                <c:pt idx="0" formatCode="0.00%">
                  <c:v>0.03</c:v>
                </c:pt>
                <c:pt idx="1">
                  <c:v>9.8884684656477428E-2</c:v>
                </c:pt>
                <c:pt idx="2">
                  <c:v>0.20221171164119359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2EF6-47FC-85CE-563B69108A97}"/>
            </c:ext>
          </c:extLst>
        </c:ser>
        <c:ser>
          <c:idx val="11"/>
          <c:order val="12"/>
          <c:tx>
            <c:v>Optimal</c:v>
          </c:tx>
          <c:xVal>
            <c:numRef>
              <c:f>'Covar Matrix'!$M$18</c:f>
              <c:numCache>
                <c:formatCode>0.00%</c:formatCode>
                <c:ptCount val="1"/>
                <c:pt idx="0">
                  <c:v>7.7181144688391073E-2</c:v>
                </c:pt>
              </c:numCache>
            </c:numRef>
          </c:xVal>
          <c:yVal>
            <c:numRef>
              <c:f>'Covar Matrix'!$M$17</c:f>
              <c:numCache>
                <c:formatCode>0.00%</c:formatCode>
                <c:ptCount val="1"/>
                <c:pt idx="0">
                  <c:v>6.574157457246213E-2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2EF6-47FC-85CE-563B6910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144448"/>
        <c:axId val="247146368"/>
      </c:scatterChart>
      <c:valAx>
        <c:axId val="247144448"/>
        <c:scaling>
          <c:orientation val="minMax"/>
          <c:max val="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Standard Deviation</a:t>
                </a:r>
              </a:p>
            </c:rich>
          </c:tx>
          <c:layout>
            <c:manualLayout>
              <c:xMode val="edge"/>
              <c:yMode val="edge"/>
              <c:x val="0.42341040462427748"/>
              <c:y val="0.70974145473195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146368"/>
        <c:crosses val="autoZero"/>
        <c:crossBetween val="midCat"/>
      </c:valAx>
      <c:valAx>
        <c:axId val="247146368"/>
        <c:scaling>
          <c:orientation val="minMax"/>
          <c:max val="0.14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Expected Return </a:t>
                </a:r>
              </a:p>
            </c:rich>
          </c:tx>
          <c:layout>
            <c:manualLayout>
              <c:xMode val="edge"/>
              <c:yMode val="edge"/>
              <c:x val="2.1676300578034682E-2"/>
              <c:y val="0.2564612182097927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1444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346820809248555E-2"/>
          <c:y val="0.77622891966090446"/>
          <c:w val="0.81610789980732179"/>
          <c:h val="0.19822829617562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15</xdr:row>
      <xdr:rowOff>85725</xdr:rowOff>
    </xdr:from>
    <xdr:to>
      <xdr:col>10</xdr:col>
      <xdr:colOff>371475</xdr:colOff>
      <xdr:row>41</xdr:row>
      <xdr:rowOff>104775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45</xdr:row>
      <xdr:rowOff>19050</xdr:rowOff>
    </xdr:from>
    <xdr:to>
      <xdr:col>11</xdr:col>
      <xdr:colOff>428625</xdr:colOff>
      <xdr:row>71</xdr:row>
      <xdr:rowOff>38100</xdr:rowOff>
    </xdr:to>
    <xdr:graphicFrame macro="">
      <xdr:nvGraphicFramePr>
        <xdr:cNvPr id="2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0.51207</cdr:x>
      <cdr:y>0.49877</cdr:y>
    </cdr:from>
    <cdr:to>
      <cdr:x>0.52784</cdr:x>
      <cdr:y>0.5642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3281" y="2397593"/>
          <a:ext cx="104089" cy="314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36576" rIns="45720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25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0.51207</cdr:x>
      <cdr:y>0.49877</cdr:y>
    </cdr:from>
    <cdr:to>
      <cdr:x>0.52784</cdr:x>
      <cdr:y>0.5642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3281" y="2397593"/>
          <a:ext cx="104089" cy="314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36576" rIns="45720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25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7.28515625" customWidth="1"/>
    <col min="2" max="2" width="6.5703125" customWidth="1"/>
    <col min="3" max="4" width="6.85546875" customWidth="1"/>
    <col min="5" max="9" width="6.28515625" customWidth="1"/>
    <col min="10" max="12" width="7.85546875" customWidth="1"/>
    <col min="13" max="13" width="7.5703125" customWidth="1"/>
    <col min="14" max="14" width="8.5703125" customWidth="1"/>
    <col min="15" max="15" width="7.5703125" customWidth="1"/>
    <col min="16" max="16" width="8.28515625" customWidth="1"/>
    <col min="17" max="17" width="7.7109375" customWidth="1"/>
    <col min="18" max="18" width="7.85546875" customWidth="1"/>
    <col min="19" max="19" width="7.5703125" customWidth="1"/>
  </cols>
  <sheetData>
    <row r="1" spans="1:21" s="5" customFormat="1" ht="15.75" x14ac:dyDescent="0.25">
      <c r="B1" s="33" t="s">
        <v>4</v>
      </c>
      <c r="C1" s="33"/>
      <c r="D1" s="33"/>
      <c r="E1" s="33"/>
      <c r="F1" s="33"/>
      <c r="G1" s="33"/>
      <c r="H1" s="33"/>
      <c r="I1" s="33"/>
      <c r="J1" s="33"/>
      <c r="K1" s="33" t="s">
        <v>5</v>
      </c>
      <c r="L1" s="33"/>
      <c r="M1" s="33"/>
      <c r="N1" s="33"/>
      <c r="O1" s="33"/>
      <c r="P1" s="33"/>
      <c r="Q1" s="33"/>
      <c r="R1" s="33"/>
      <c r="S1" s="33"/>
      <c r="T1" s="2" t="s">
        <v>13</v>
      </c>
      <c r="U1" s="8">
        <v>0.03</v>
      </c>
    </row>
    <row r="2" spans="1:21" s="2" customFormat="1" x14ac:dyDescent="0.25">
      <c r="A2" s="2" t="s">
        <v>6</v>
      </c>
      <c r="B2" s="2" t="s">
        <v>45</v>
      </c>
      <c r="C2" s="2" t="s">
        <v>0</v>
      </c>
      <c r="D2" s="2" t="s">
        <v>43</v>
      </c>
      <c r="E2" s="2" t="s">
        <v>1</v>
      </c>
      <c r="F2" s="2" t="s">
        <v>44</v>
      </c>
      <c r="G2" s="2" t="s">
        <v>2</v>
      </c>
      <c r="H2" s="2" t="s">
        <v>3</v>
      </c>
      <c r="I2" s="2" t="s">
        <v>46</v>
      </c>
      <c r="J2" s="2" t="s">
        <v>7</v>
      </c>
      <c r="K2" s="4" t="str">
        <f>B2</f>
        <v>PZZA</v>
      </c>
      <c r="L2" s="27" t="str">
        <f t="shared" ref="L2:S2" si="0">C2</f>
        <v>AAPL</v>
      </c>
      <c r="M2" s="27" t="str">
        <f t="shared" si="0"/>
        <v>PRU</v>
      </c>
      <c r="N2" s="27" t="str">
        <f t="shared" si="0"/>
        <v>DIS</v>
      </c>
      <c r="O2" s="27" t="str">
        <f t="shared" si="0"/>
        <v>GE</v>
      </c>
      <c r="P2" s="27" t="str">
        <f t="shared" si="0"/>
        <v>MRK</v>
      </c>
      <c r="Q2" s="27" t="str">
        <f t="shared" si="0"/>
        <v>XOM</v>
      </c>
      <c r="R2" s="27" t="str">
        <f t="shared" si="0"/>
        <v>UAL</v>
      </c>
      <c r="S2" s="27" t="str">
        <f t="shared" si="0"/>
        <v>S&amp;P</v>
      </c>
      <c r="T2" s="2" t="s">
        <v>14</v>
      </c>
      <c r="U2" s="9">
        <v>5.7000000000000002E-2</v>
      </c>
    </row>
    <row r="3" spans="1:21" x14ac:dyDescent="0.25">
      <c r="A3" s="7">
        <v>40513</v>
      </c>
      <c r="B3">
        <v>13.410121999999999</v>
      </c>
      <c r="C3">
        <v>42.674194</v>
      </c>
      <c r="D3">
        <v>50.48912</v>
      </c>
      <c r="E3">
        <v>35.009723999999999</v>
      </c>
      <c r="F3">
        <v>15.283836000000001</v>
      </c>
      <c r="G3">
        <v>29.637315999999998</v>
      </c>
      <c r="H3">
        <v>63.178814000000003</v>
      </c>
      <c r="I3">
        <v>23.82</v>
      </c>
      <c r="J3">
        <v>1257.6400149999999</v>
      </c>
      <c r="K3" s="6"/>
      <c r="L3" s="6"/>
      <c r="M3" s="6"/>
      <c r="N3" s="6"/>
      <c r="O3" s="6"/>
      <c r="P3" s="6"/>
      <c r="Q3" s="6"/>
      <c r="R3" s="6"/>
      <c r="S3" s="6"/>
    </row>
    <row r="4" spans="1:21" x14ac:dyDescent="0.25">
      <c r="A4" s="7">
        <v>40544</v>
      </c>
      <c r="B4">
        <v>13.894242</v>
      </c>
      <c r="C4">
        <v>44.891517999999998</v>
      </c>
      <c r="D4">
        <v>52.897049000000003</v>
      </c>
      <c r="E4">
        <v>36.279071999999999</v>
      </c>
      <c r="F4">
        <v>16.829767</v>
      </c>
      <c r="G4">
        <v>27.277183999999998</v>
      </c>
      <c r="H4">
        <v>69.710976000000002</v>
      </c>
      <c r="I4">
        <v>25.4</v>
      </c>
      <c r="J4">
        <v>1286.119995</v>
      </c>
      <c r="K4" s="6">
        <f t="shared" ref="K4:K62" si="1">LN(B4/B3)</f>
        <v>3.5464714768835705E-2</v>
      </c>
      <c r="L4" s="6">
        <f t="shared" ref="L4:L62" si="2">LN(C4/C3)</f>
        <v>5.0654486650747926E-2</v>
      </c>
      <c r="M4" s="6">
        <f t="shared" ref="M4:M62" si="3">LN(D4/D3)</f>
        <v>4.6589685284151479E-2</v>
      </c>
      <c r="N4" s="6">
        <f t="shared" ref="N4:N62" si="4">LN(E4/E3)</f>
        <v>3.561519461484839E-2</v>
      </c>
      <c r="O4" s="6">
        <f t="shared" ref="O4:O62" si="5">LN(F4/F3)</f>
        <v>9.6353364429533975E-2</v>
      </c>
      <c r="P4" s="6">
        <f t="shared" ref="P4:P62" si="6">LN(G4/G3)</f>
        <v>-8.2983641180685686E-2</v>
      </c>
      <c r="Q4" s="6">
        <f t="shared" ref="Q4:Q62" si="7">LN(H4/H3)</f>
        <v>9.8388756826473786E-2</v>
      </c>
      <c r="R4" s="6">
        <f t="shared" ref="R4:R62" si="8">LN(I4/I3)</f>
        <v>6.4223610097336861E-2</v>
      </c>
      <c r="S4" s="6">
        <f t="shared" ref="S4:S62" si="9">LN(J4/J3)</f>
        <v>2.2392969441753622E-2</v>
      </c>
    </row>
    <row r="5" spans="1:21" x14ac:dyDescent="0.25">
      <c r="A5" s="7">
        <v>40575</v>
      </c>
      <c r="B5">
        <v>14.126619</v>
      </c>
      <c r="C5">
        <v>46.729145000000003</v>
      </c>
      <c r="D5">
        <v>56.612144000000001</v>
      </c>
      <c r="E5">
        <v>40.824458999999997</v>
      </c>
      <c r="F5">
        <v>17.602544999999999</v>
      </c>
      <c r="G5">
        <v>26.783777000000001</v>
      </c>
      <c r="H5">
        <v>74.291054000000003</v>
      </c>
      <c r="I5">
        <v>24.040001</v>
      </c>
      <c r="J5">
        <v>1327.219971</v>
      </c>
      <c r="K5" s="6">
        <f t="shared" si="1"/>
        <v>1.6586380223890321E-2</v>
      </c>
      <c r="L5" s="6">
        <f t="shared" si="2"/>
        <v>4.0119191730728712E-2</v>
      </c>
      <c r="M5" s="6">
        <f t="shared" si="3"/>
        <v>6.7875967689497288E-2</v>
      </c>
      <c r="N5" s="6">
        <f t="shared" si="4"/>
        <v>0.1180403409962273</v>
      </c>
      <c r="O5" s="6">
        <f t="shared" si="5"/>
        <v>4.4894330081660404E-2</v>
      </c>
      <c r="P5" s="6">
        <f t="shared" si="6"/>
        <v>-1.8254233434443618E-2</v>
      </c>
      <c r="Q5" s="6">
        <f t="shared" si="7"/>
        <v>6.3632760445086992E-2</v>
      </c>
      <c r="R5" s="6">
        <f t="shared" si="8"/>
        <v>-5.5030022760147117E-2</v>
      </c>
      <c r="S5" s="6">
        <f t="shared" si="9"/>
        <v>3.1456577077623601E-2</v>
      </c>
    </row>
    <row r="6" spans="1:21" x14ac:dyDescent="0.25">
      <c r="A6" s="7">
        <v>40603</v>
      </c>
      <c r="B6">
        <v>15.332077999999999</v>
      </c>
      <c r="C6">
        <v>46.107342000000003</v>
      </c>
      <c r="D6">
        <v>52.957248999999997</v>
      </c>
      <c r="E6">
        <v>40.217784999999999</v>
      </c>
      <c r="F6">
        <v>16.870508000000001</v>
      </c>
      <c r="G6">
        <v>27.462809</v>
      </c>
      <c r="H6">
        <v>73.075012000000001</v>
      </c>
      <c r="I6">
        <v>22.99</v>
      </c>
      <c r="J6">
        <v>1325.829956</v>
      </c>
      <c r="K6" s="6">
        <f t="shared" si="1"/>
        <v>8.188634497105042E-2</v>
      </c>
      <c r="L6" s="6">
        <f t="shared" si="2"/>
        <v>-1.3395860152908556E-2</v>
      </c>
      <c r="M6" s="6">
        <f t="shared" si="3"/>
        <v>-6.6738555083159956E-2</v>
      </c>
      <c r="N6" s="6">
        <f t="shared" si="4"/>
        <v>-1.497207636015634E-2</v>
      </c>
      <c r="O6" s="6">
        <f t="shared" si="5"/>
        <v>-4.2476485132468211E-2</v>
      </c>
      <c r="P6" s="6">
        <f t="shared" si="6"/>
        <v>2.5036320948085684E-2</v>
      </c>
      <c r="Q6" s="6">
        <f t="shared" si="7"/>
        <v>-1.6504065493947867E-2</v>
      </c>
      <c r="R6" s="6">
        <f t="shared" si="8"/>
        <v>-4.4659812489253638E-2</v>
      </c>
      <c r="S6" s="6">
        <f t="shared" si="9"/>
        <v>-1.0478620195134246E-3</v>
      </c>
    </row>
    <row r="7" spans="1:21" x14ac:dyDescent="0.25">
      <c r="A7" s="7">
        <v>40634</v>
      </c>
      <c r="B7">
        <v>14.552645</v>
      </c>
      <c r="C7">
        <v>46.321663000000001</v>
      </c>
      <c r="D7">
        <v>54.5396</v>
      </c>
      <c r="E7">
        <v>40.227116000000002</v>
      </c>
      <c r="F7">
        <v>17.207077000000002</v>
      </c>
      <c r="G7">
        <v>29.908756</v>
      </c>
      <c r="H7">
        <v>76.419121000000004</v>
      </c>
      <c r="I7">
        <v>22.82</v>
      </c>
      <c r="J7">
        <v>1363.6099850000001</v>
      </c>
      <c r="K7" s="6">
        <f t="shared" si="1"/>
        <v>-5.217447086643371E-2</v>
      </c>
      <c r="L7" s="6">
        <f t="shared" si="2"/>
        <v>4.63753524365883E-3</v>
      </c>
      <c r="M7" s="6">
        <f t="shared" si="3"/>
        <v>2.9442077908284917E-2</v>
      </c>
      <c r="N7" s="6">
        <f t="shared" si="4"/>
        <v>2.3198487227553974E-4</v>
      </c>
      <c r="O7" s="6">
        <f t="shared" si="5"/>
        <v>1.9753743953540574E-2</v>
      </c>
      <c r="P7" s="6">
        <f t="shared" si="6"/>
        <v>8.5318590981617468E-2</v>
      </c>
      <c r="Q7" s="6">
        <f t="shared" si="7"/>
        <v>4.4746464515910314E-2</v>
      </c>
      <c r="R7" s="6">
        <f t="shared" si="8"/>
        <v>-7.4219943411605567E-3</v>
      </c>
      <c r="S7" s="6">
        <f t="shared" si="9"/>
        <v>2.8096938553675548E-2</v>
      </c>
    </row>
    <row r="8" spans="1:21" x14ac:dyDescent="0.25">
      <c r="A8" s="7">
        <v>40664</v>
      </c>
      <c r="B8">
        <v>16.038893000000002</v>
      </c>
      <c r="C8">
        <v>46.017375999999999</v>
      </c>
      <c r="D8">
        <v>54.849193999999997</v>
      </c>
      <c r="E8">
        <v>38.855103</v>
      </c>
      <c r="F8">
        <v>16.525524000000001</v>
      </c>
      <c r="G8">
        <v>30.574318000000002</v>
      </c>
      <c r="H8">
        <v>72.912941000000004</v>
      </c>
      <c r="I8">
        <v>24.15</v>
      </c>
      <c r="J8">
        <v>1345.1999510000001</v>
      </c>
      <c r="K8" s="6">
        <f t="shared" si="1"/>
        <v>9.7243821056294491E-2</v>
      </c>
      <c r="L8" s="6">
        <f t="shared" si="2"/>
        <v>-6.5906707441599436E-3</v>
      </c>
      <c r="M8" s="6">
        <f t="shared" si="3"/>
        <v>5.6604486677685846E-3</v>
      </c>
      <c r="N8" s="6">
        <f t="shared" si="4"/>
        <v>-3.4701876057651987E-2</v>
      </c>
      <c r="O8" s="6">
        <f t="shared" si="5"/>
        <v>-4.0414657917977562E-2</v>
      </c>
      <c r="P8" s="6">
        <f t="shared" si="6"/>
        <v>2.2009095183142261E-2</v>
      </c>
      <c r="Q8" s="6">
        <f t="shared" si="7"/>
        <v>-4.696679932096972E-2</v>
      </c>
      <c r="R8" s="6">
        <f t="shared" si="8"/>
        <v>5.6647035664652005E-2</v>
      </c>
      <c r="S8" s="6">
        <f t="shared" si="9"/>
        <v>-1.3592919325235627E-2</v>
      </c>
    </row>
    <row r="9" spans="1:21" x14ac:dyDescent="0.25">
      <c r="A9" s="7">
        <v>40695</v>
      </c>
      <c r="B9">
        <v>16.101828000000001</v>
      </c>
      <c r="C9">
        <v>44.408627000000003</v>
      </c>
      <c r="D9">
        <v>54.685799000000003</v>
      </c>
      <c r="E9">
        <v>36.437739999999998</v>
      </c>
      <c r="F9">
        <v>15.999720999999999</v>
      </c>
      <c r="G9">
        <v>29.677792</v>
      </c>
      <c r="H9">
        <v>71.087272999999996</v>
      </c>
      <c r="I9">
        <v>22.629999000000002</v>
      </c>
      <c r="J9">
        <v>1320.6400149999999</v>
      </c>
      <c r="K9" s="6">
        <f t="shared" si="1"/>
        <v>3.9162208237351216E-3</v>
      </c>
      <c r="L9" s="6">
        <f t="shared" si="2"/>
        <v>-3.5585311928234782E-2</v>
      </c>
      <c r="M9" s="6">
        <f t="shared" si="3"/>
        <v>-2.9834323574828149E-3</v>
      </c>
      <c r="N9" s="6">
        <f t="shared" si="4"/>
        <v>-6.4234368829228783E-2</v>
      </c>
      <c r="O9" s="6">
        <f t="shared" si="5"/>
        <v>-3.233481017828084E-2</v>
      </c>
      <c r="P9" s="6">
        <f t="shared" si="6"/>
        <v>-2.9761353518214989E-2</v>
      </c>
      <c r="Q9" s="6">
        <f t="shared" si="7"/>
        <v>-2.5357821027023077E-2</v>
      </c>
      <c r="R9" s="6">
        <f t="shared" si="8"/>
        <v>-6.500796464226602E-2</v>
      </c>
      <c r="S9" s="6">
        <f t="shared" si="9"/>
        <v>-1.8426185517957314E-2</v>
      </c>
    </row>
    <row r="10" spans="1:21" x14ac:dyDescent="0.25">
      <c r="A10" s="7">
        <v>40725</v>
      </c>
      <c r="B10">
        <v>15.109382999999999</v>
      </c>
      <c r="C10">
        <v>51.659903999999997</v>
      </c>
      <c r="D10">
        <v>50.463321999999998</v>
      </c>
      <c r="E10">
        <v>36.045734000000003</v>
      </c>
      <c r="F10">
        <v>15.193795</v>
      </c>
      <c r="G10">
        <v>28.702269000000001</v>
      </c>
      <c r="H10">
        <v>69.69838</v>
      </c>
      <c r="I10">
        <v>18.120000999999998</v>
      </c>
      <c r="J10">
        <v>1292.280029</v>
      </c>
      <c r="K10" s="6">
        <f t="shared" si="1"/>
        <v>-6.3616864351790051E-2</v>
      </c>
      <c r="L10" s="6">
        <f t="shared" si="2"/>
        <v>0.15124817699583967</v>
      </c>
      <c r="M10" s="6">
        <f t="shared" si="3"/>
        <v>-8.0357284263949003E-2</v>
      </c>
      <c r="N10" s="6">
        <f t="shared" si="4"/>
        <v>-1.0816529626139913E-2</v>
      </c>
      <c r="O10" s="6">
        <f t="shared" si="5"/>
        <v>-5.1684163765697573E-2</v>
      </c>
      <c r="P10" s="6">
        <f t="shared" si="6"/>
        <v>-3.3422843126837992E-2</v>
      </c>
      <c r="Q10" s="6">
        <f t="shared" si="7"/>
        <v>-1.9731244351412484E-2</v>
      </c>
      <c r="R10" s="6">
        <f t="shared" si="8"/>
        <v>-0.22226005965384593</v>
      </c>
      <c r="S10" s="6">
        <f t="shared" si="9"/>
        <v>-2.1708356352599566E-2</v>
      </c>
    </row>
    <row r="11" spans="1:21" x14ac:dyDescent="0.25">
      <c r="A11" s="7">
        <v>40756</v>
      </c>
      <c r="B11">
        <v>14.402568</v>
      </c>
      <c r="C11">
        <v>50.912421999999999</v>
      </c>
      <c r="D11">
        <v>43.179333</v>
      </c>
      <c r="E11">
        <v>31.78969</v>
      </c>
      <c r="F11">
        <v>13.836449</v>
      </c>
      <c r="G11">
        <v>27.836067</v>
      </c>
      <c r="H11">
        <v>65.085144</v>
      </c>
      <c r="I11">
        <v>18.59</v>
      </c>
      <c r="J11">
        <v>1218.8900149999999</v>
      </c>
      <c r="K11" s="6">
        <f t="shared" si="1"/>
        <v>-4.7909417550288269E-2</v>
      </c>
      <c r="L11" s="6">
        <f t="shared" si="2"/>
        <v>-1.4574988428578241E-2</v>
      </c>
      <c r="M11" s="6">
        <f t="shared" si="3"/>
        <v>-0.1558847973689772</v>
      </c>
      <c r="N11" s="6">
        <f t="shared" si="4"/>
        <v>-0.12564649770282113</v>
      </c>
      <c r="O11" s="6">
        <f t="shared" si="5"/>
        <v>-9.3580778698067524E-2</v>
      </c>
      <c r="P11" s="6">
        <f t="shared" si="6"/>
        <v>-3.0643624939279305E-2</v>
      </c>
      <c r="Q11" s="6">
        <f t="shared" si="7"/>
        <v>-6.8480754621315504E-2</v>
      </c>
      <c r="R11" s="6">
        <f t="shared" si="8"/>
        <v>2.5607445930882985E-2</v>
      </c>
      <c r="S11" s="6">
        <f t="shared" si="9"/>
        <v>-5.8467501753798806E-2</v>
      </c>
    </row>
    <row r="12" spans="1:21" x14ac:dyDescent="0.25">
      <c r="A12" s="7">
        <v>40787</v>
      </c>
      <c r="B12">
        <v>14.717245</v>
      </c>
      <c r="C12">
        <v>50.448051</v>
      </c>
      <c r="D12">
        <v>40.29842</v>
      </c>
      <c r="E12">
        <v>28.149649</v>
      </c>
      <c r="F12">
        <v>13.035591</v>
      </c>
      <c r="G12">
        <v>27.830164</v>
      </c>
      <c r="H12">
        <v>63.862929999999999</v>
      </c>
      <c r="I12">
        <v>19.379999000000002</v>
      </c>
      <c r="J12">
        <v>1131.420044</v>
      </c>
      <c r="K12" s="6">
        <f t="shared" si="1"/>
        <v>2.1613411442174175E-2</v>
      </c>
      <c r="L12" s="6">
        <f t="shared" si="2"/>
        <v>-9.1628271889382419E-3</v>
      </c>
      <c r="M12" s="6">
        <f t="shared" si="3"/>
        <v>-6.904971577243886E-2</v>
      </c>
      <c r="N12" s="6">
        <f t="shared" si="4"/>
        <v>-0.12160713778954152</v>
      </c>
      <c r="O12" s="6">
        <f t="shared" si="5"/>
        <v>-5.9622956295662902E-2</v>
      </c>
      <c r="P12" s="6">
        <f t="shared" si="6"/>
        <v>-2.120854929850692E-4</v>
      </c>
      <c r="Q12" s="6">
        <f t="shared" si="7"/>
        <v>-1.8957252557191703E-2</v>
      </c>
      <c r="R12" s="6">
        <f t="shared" si="8"/>
        <v>4.1617753129679073E-2</v>
      </c>
      <c r="S12" s="6">
        <f t="shared" si="9"/>
        <v>-7.4467100959878879E-2</v>
      </c>
    </row>
    <row r="13" spans="1:21" x14ac:dyDescent="0.25">
      <c r="A13" s="7">
        <v>40817</v>
      </c>
      <c r="B13">
        <v>16.343886999999999</v>
      </c>
      <c r="C13">
        <v>53.551772999999997</v>
      </c>
      <c r="D13">
        <v>46.610633999999997</v>
      </c>
      <c r="E13">
        <v>32.555031</v>
      </c>
      <c r="F13">
        <v>14.311742000000001</v>
      </c>
      <c r="G13">
        <v>29.362099000000001</v>
      </c>
      <c r="H13">
        <v>68.663856999999993</v>
      </c>
      <c r="I13">
        <v>19.32</v>
      </c>
      <c r="J13">
        <v>1253.3000489999999</v>
      </c>
      <c r="K13" s="6">
        <f t="shared" si="1"/>
        <v>0.1048340081812781</v>
      </c>
      <c r="L13" s="6">
        <f t="shared" si="2"/>
        <v>5.9704791845202228E-2</v>
      </c>
      <c r="M13" s="6">
        <f t="shared" si="3"/>
        <v>0.1455164502946921</v>
      </c>
      <c r="N13" s="6">
        <f t="shared" si="4"/>
        <v>0.14539703333160853</v>
      </c>
      <c r="O13" s="6">
        <f t="shared" si="5"/>
        <v>9.3396933384982977E-2</v>
      </c>
      <c r="P13" s="6">
        <f t="shared" si="6"/>
        <v>5.3584224574765069E-2</v>
      </c>
      <c r="Q13" s="6">
        <f t="shared" si="7"/>
        <v>7.2483893958458556E-2</v>
      </c>
      <c r="R13" s="6">
        <f t="shared" si="8"/>
        <v>-3.100726078659717E-3</v>
      </c>
      <c r="S13" s="6">
        <f t="shared" si="9"/>
        <v>0.10230659185819124</v>
      </c>
    </row>
    <row r="14" spans="1:21" x14ac:dyDescent="0.25">
      <c r="A14" s="7">
        <v>40848</v>
      </c>
      <c r="B14">
        <v>18.348146</v>
      </c>
      <c r="C14">
        <v>50.564472000000002</v>
      </c>
      <c r="D14">
        <v>44.836773000000001</v>
      </c>
      <c r="E14">
        <v>33.460372999999997</v>
      </c>
      <c r="F14">
        <v>13.62656</v>
      </c>
      <c r="G14">
        <v>30.425943</v>
      </c>
      <c r="H14">
        <v>71.151641999999995</v>
      </c>
      <c r="I14">
        <v>17.969999000000001</v>
      </c>
      <c r="J14">
        <v>1246.959961</v>
      </c>
      <c r="K14" s="6">
        <f t="shared" si="1"/>
        <v>0.115674590334572</v>
      </c>
      <c r="L14" s="6">
        <f t="shared" si="2"/>
        <v>-5.7399710295080293E-2</v>
      </c>
      <c r="M14" s="6">
        <f t="shared" si="3"/>
        <v>-3.8800083902965646E-2</v>
      </c>
      <c r="N14" s="6">
        <f t="shared" si="4"/>
        <v>2.7429924212463392E-2</v>
      </c>
      <c r="O14" s="6">
        <f t="shared" si="5"/>
        <v>-4.9059489805248921E-2</v>
      </c>
      <c r="P14" s="6">
        <f t="shared" si="6"/>
        <v>3.5590939624921165E-2</v>
      </c>
      <c r="Q14" s="6">
        <f t="shared" si="7"/>
        <v>3.5590440465184413E-2</v>
      </c>
      <c r="R14" s="6">
        <f t="shared" si="8"/>
        <v>-7.2437183637208469E-2</v>
      </c>
      <c r="S14" s="6">
        <f t="shared" si="9"/>
        <v>-5.0715538095285817E-3</v>
      </c>
    </row>
    <row r="15" spans="1:21" x14ac:dyDescent="0.25">
      <c r="A15" s="7">
        <v>40878</v>
      </c>
      <c r="B15">
        <v>18.241637999999998</v>
      </c>
      <c r="C15">
        <v>53.580879000000003</v>
      </c>
      <c r="D15">
        <v>44.376362</v>
      </c>
      <c r="E15">
        <v>35.588138999999998</v>
      </c>
      <c r="F15">
        <v>15.488358</v>
      </c>
      <c r="G15">
        <v>32.470675999999997</v>
      </c>
      <c r="H15">
        <v>74.972808999999998</v>
      </c>
      <c r="I15">
        <v>18.870000999999998</v>
      </c>
      <c r="J15">
        <v>1257.599976</v>
      </c>
      <c r="K15" s="6">
        <f t="shared" si="1"/>
        <v>-5.8217507280645545E-3</v>
      </c>
      <c r="L15" s="6">
        <f t="shared" si="2"/>
        <v>5.7943074062760051E-2</v>
      </c>
      <c r="M15" s="6">
        <f t="shared" si="3"/>
        <v>-1.0321688338148137E-2</v>
      </c>
      <c r="N15" s="6">
        <f t="shared" si="4"/>
        <v>6.1650565050325491E-2</v>
      </c>
      <c r="O15" s="6">
        <f t="shared" si="5"/>
        <v>0.12806781552845059</v>
      </c>
      <c r="P15" s="6">
        <f t="shared" si="6"/>
        <v>6.5041772474346837E-2</v>
      </c>
      <c r="Q15" s="6">
        <f t="shared" si="7"/>
        <v>5.231209885992763E-2</v>
      </c>
      <c r="R15" s="6">
        <f t="shared" si="8"/>
        <v>4.8869767227464521E-2</v>
      </c>
      <c r="S15" s="6">
        <f t="shared" si="9"/>
        <v>8.4965656862407268E-3</v>
      </c>
    </row>
    <row r="16" spans="1:21" x14ac:dyDescent="0.25">
      <c r="A16" s="7">
        <v>40909</v>
      </c>
      <c r="B16">
        <v>18.745125000000002</v>
      </c>
      <c r="C16">
        <v>60.391601999999999</v>
      </c>
      <c r="D16">
        <v>50.680430999999999</v>
      </c>
      <c r="E16">
        <v>36.916763000000003</v>
      </c>
      <c r="F16">
        <v>16.180188999999999</v>
      </c>
      <c r="G16">
        <v>32.961613</v>
      </c>
      <c r="H16">
        <v>74.070587000000003</v>
      </c>
      <c r="I16">
        <v>23.1</v>
      </c>
      <c r="J16">
        <v>1312.410034</v>
      </c>
      <c r="K16" s="6">
        <f t="shared" si="1"/>
        <v>2.7226935364810745E-2</v>
      </c>
      <c r="L16" s="6">
        <f t="shared" si="2"/>
        <v>0.11965778618171388</v>
      </c>
      <c r="M16" s="6">
        <f t="shared" si="3"/>
        <v>0.13283291947543241</v>
      </c>
      <c r="N16" s="6">
        <f t="shared" si="4"/>
        <v>3.6653321548702635E-2</v>
      </c>
      <c r="O16" s="6">
        <f t="shared" si="5"/>
        <v>4.3698947713381911E-2</v>
      </c>
      <c r="P16" s="6">
        <f t="shared" si="6"/>
        <v>1.5006236834859996E-2</v>
      </c>
      <c r="Q16" s="6">
        <f t="shared" si="7"/>
        <v>-1.2106984204045062E-2</v>
      </c>
      <c r="R16" s="6">
        <f t="shared" si="8"/>
        <v>0.20225920515311988</v>
      </c>
      <c r="S16" s="6">
        <f t="shared" si="9"/>
        <v>4.266004400164506E-2</v>
      </c>
    </row>
    <row r="17" spans="1:19" x14ac:dyDescent="0.25">
      <c r="A17" s="7">
        <v>40940</v>
      </c>
      <c r="B17">
        <v>17.989896999999999</v>
      </c>
      <c r="C17">
        <v>71.763985000000005</v>
      </c>
      <c r="D17">
        <v>54.151206999999999</v>
      </c>
      <c r="E17">
        <v>39.849227999999997</v>
      </c>
      <c r="F17">
        <v>16.61993</v>
      </c>
      <c r="G17">
        <v>32.875481000000001</v>
      </c>
      <c r="H17">
        <v>76.930672000000001</v>
      </c>
      <c r="I17">
        <v>20.65</v>
      </c>
      <c r="J17">
        <v>1365.6800539999999</v>
      </c>
      <c r="K17" s="6">
        <f t="shared" si="1"/>
        <v>-4.1123396067510212E-2</v>
      </c>
      <c r="L17" s="6">
        <f t="shared" si="2"/>
        <v>0.172532692999917</v>
      </c>
      <c r="M17" s="6">
        <f t="shared" si="3"/>
        <v>6.6240403376208012E-2</v>
      </c>
      <c r="N17" s="6">
        <f t="shared" si="4"/>
        <v>7.6437302666600537E-2</v>
      </c>
      <c r="O17" s="6">
        <f t="shared" si="5"/>
        <v>2.6814984975527246E-2</v>
      </c>
      <c r="P17" s="6">
        <f t="shared" si="6"/>
        <v>-2.616520381035803E-3</v>
      </c>
      <c r="Q17" s="6">
        <f t="shared" si="7"/>
        <v>3.7886135716855007E-2</v>
      </c>
      <c r="R17" s="6">
        <f t="shared" si="8"/>
        <v>-0.11211729812070624</v>
      </c>
      <c r="S17" s="6">
        <f t="shared" si="9"/>
        <v>3.9787345020620563E-2</v>
      </c>
    </row>
    <row r="18" spans="1:19" x14ac:dyDescent="0.25">
      <c r="A18" s="7">
        <v>40969</v>
      </c>
      <c r="B18">
        <v>18.231956</v>
      </c>
      <c r="C18">
        <v>79.319550000000007</v>
      </c>
      <c r="D18">
        <v>56.125652000000002</v>
      </c>
      <c r="E18">
        <v>41.547966000000002</v>
      </c>
      <c r="F18">
        <v>17.509817000000002</v>
      </c>
      <c r="G18">
        <v>33.442238000000003</v>
      </c>
      <c r="H18">
        <v>77.135231000000005</v>
      </c>
      <c r="I18">
        <v>21.5</v>
      </c>
      <c r="J18">
        <v>1408.469971</v>
      </c>
      <c r="K18" s="6">
        <f t="shared" si="1"/>
        <v>1.3365556058237296E-2</v>
      </c>
      <c r="L18" s="6">
        <f t="shared" si="2"/>
        <v>0.10010188187444544</v>
      </c>
      <c r="M18" s="6">
        <f t="shared" si="3"/>
        <v>3.5812699787498445E-2</v>
      </c>
      <c r="N18" s="6">
        <f t="shared" si="4"/>
        <v>4.1745534633480609E-2</v>
      </c>
      <c r="O18" s="6">
        <f t="shared" si="5"/>
        <v>5.2159117446975094E-2</v>
      </c>
      <c r="P18" s="6">
        <f t="shared" si="6"/>
        <v>1.7092590244786352E-2</v>
      </c>
      <c r="Q18" s="6">
        <f t="shared" si="7"/>
        <v>2.6554755623615983E-3</v>
      </c>
      <c r="R18" s="6">
        <f t="shared" si="8"/>
        <v>4.0337615726575335E-2</v>
      </c>
      <c r="S18" s="6">
        <f t="shared" si="9"/>
        <v>3.0851475632112556E-2</v>
      </c>
    </row>
    <row r="19" spans="1:19" x14ac:dyDescent="0.25">
      <c r="A19" s="7">
        <v>41000</v>
      </c>
      <c r="B19">
        <v>19.500349</v>
      </c>
      <c r="C19">
        <v>77.259658999999999</v>
      </c>
      <c r="D19">
        <v>53.602257000000002</v>
      </c>
      <c r="E19">
        <v>40.912125000000003</v>
      </c>
      <c r="F19">
        <v>17.082322999999999</v>
      </c>
      <c r="G19">
        <v>34.173786</v>
      </c>
      <c r="H19">
        <v>76.788368000000006</v>
      </c>
      <c r="I19">
        <v>21.92</v>
      </c>
      <c r="J19">
        <v>1397.910034</v>
      </c>
      <c r="K19" s="6">
        <f t="shared" si="1"/>
        <v>6.7256484244154174E-2</v>
      </c>
      <c r="L19" s="6">
        <f t="shared" si="2"/>
        <v>-2.6312686852850792E-2</v>
      </c>
      <c r="M19" s="6">
        <f t="shared" si="3"/>
        <v>-4.6001787522259995E-2</v>
      </c>
      <c r="N19" s="6">
        <f t="shared" si="4"/>
        <v>-1.5422093152174205E-2</v>
      </c>
      <c r="O19" s="6">
        <f t="shared" si="5"/>
        <v>-2.4717508934319257E-2</v>
      </c>
      <c r="P19" s="6">
        <f t="shared" si="6"/>
        <v>2.1639147121507205E-2</v>
      </c>
      <c r="Q19" s="6">
        <f t="shared" si="7"/>
        <v>-4.5069578595622103E-3</v>
      </c>
      <c r="R19" s="6">
        <f t="shared" si="8"/>
        <v>1.934652694619781E-2</v>
      </c>
      <c r="S19" s="6">
        <f t="shared" si="9"/>
        <v>-7.5256998843071772E-3</v>
      </c>
    </row>
    <row r="20" spans="1:19" x14ac:dyDescent="0.25">
      <c r="A20" s="7">
        <v>41030</v>
      </c>
      <c r="B20">
        <v>22.521259000000001</v>
      </c>
      <c r="C20">
        <v>76.4328</v>
      </c>
      <c r="D20">
        <v>41.126938000000003</v>
      </c>
      <c r="E20">
        <v>43.379570000000001</v>
      </c>
      <c r="F20">
        <v>16.654828999999999</v>
      </c>
      <c r="G20">
        <v>32.728107000000001</v>
      </c>
      <c r="H20">
        <v>70.413071000000002</v>
      </c>
      <c r="I20">
        <v>25.17</v>
      </c>
      <c r="J20">
        <v>1310.329956</v>
      </c>
      <c r="K20" s="6">
        <f t="shared" si="1"/>
        <v>0.14402734472483028</v>
      </c>
      <c r="L20" s="6">
        <f t="shared" si="2"/>
        <v>-1.0760020147252091E-2</v>
      </c>
      <c r="M20" s="6">
        <f t="shared" si="3"/>
        <v>-0.26492784280391901</v>
      </c>
      <c r="N20" s="6">
        <f t="shared" si="4"/>
        <v>5.8562119065121272E-2</v>
      </c>
      <c r="O20" s="6">
        <f t="shared" si="5"/>
        <v>-2.5343981732163814E-2</v>
      </c>
      <c r="P20" s="6">
        <f t="shared" si="6"/>
        <v>-4.3224608942349987E-2</v>
      </c>
      <c r="Q20" s="6">
        <f t="shared" si="7"/>
        <v>-8.6674256805786679E-2</v>
      </c>
      <c r="R20" s="6">
        <f t="shared" si="8"/>
        <v>0.13825334706740974</v>
      </c>
      <c r="S20" s="6">
        <f t="shared" si="9"/>
        <v>-6.4699308071820338E-2</v>
      </c>
    </row>
    <row r="21" spans="1:19" x14ac:dyDescent="0.25">
      <c r="A21" s="7">
        <v>41061</v>
      </c>
      <c r="B21">
        <v>23.029585000000001</v>
      </c>
      <c r="C21">
        <v>77.262305999999995</v>
      </c>
      <c r="D21">
        <v>42.880034999999999</v>
      </c>
      <c r="E21">
        <v>46.027327999999997</v>
      </c>
      <c r="F21">
        <v>18.387964</v>
      </c>
      <c r="G21">
        <v>36.757095</v>
      </c>
      <c r="H21">
        <v>76.627837999999997</v>
      </c>
      <c r="I21">
        <v>24.33</v>
      </c>
      <c r="J21">
        <v>1362.160034</v>
      </c>
      <c r="K21" s="6">
        <f t="shared" si="1"/>
        <v>2.2319986126013391E-2</v>
      </c>
      <c r="L21" s="6">
        <f t="shared" si="2"/>
        <v>1.0794280648666891E-2</v>
      </c>
      <c r="M21" s="6">
        <f t="shared" si="3"/>
        <v>4.1743000398289896E-2</v>
      </c>
      <c r="N21" s="6">
        <f t="shared" si="4"/>
        <v>5.9246714098250164E-2</v>
      </c>
      <c r="O21" s="6">
        <f t="shared" si="5"/>
        <v>9.8996115737596632E-2</v>
      </c>
      <c r="P21" s="6">
        <f t="shared" si="6"/>
        <v>0.11609701825587074</v>
      </c>
      <c r="Q21" s="6">
        <f t="shared" si="7"/>
        <v>8.4581517547360041E-2</v>
      </c>
      <c r="R21" s="6">
        <f t="shared" si="8"/>
        <v>-3.3942652351793341E-2</v>
      </c>
      <c r="S21" s="6">
        <f t="shared" si="9"/>
        <v>3.8792719783522139E-2</v>
      </c>
    </row>
    <row r="22" spans="1:19" x14ac:dyDescent="0.25">
      <c r="A22" s="7">
        <v>41091</v>
      </c>
      <c r="B22">
        <v>24.694956000000001</v>
      </c>
      <c r="C22">
        <v>80.802611999999996</v>
      </c>
      <c r="D22">
        <v>42.747222999999998</v>
      </c>
      <c r="E22">
        <v>46.634697000000003</v>
      </c>
      <c r="F22">
        <v>18.308554000000001</v>
      </c>
      <c r="G22">
        <v>38.887684</v>
      </c>
      <c r="H22">
        <v>77.774078000000003</v>
      </c>
      <c r="I22">
        <v>18.889999</v>
      </c>
      <c r="J22">
        <v>1379.3199460000001</v>
      </c>
      <c r="K22" s="6">
        <f t="shared" si="1"/>
        <v>6.9819318557522048E-2</v>
      </c>
      <c r="L22" s="6">
        <f t="shared" si="2"/>
        <v>4.4803087675549184E-2</v>
      </c>
      <c r="M22" s="6">
        <f t="shared" si="3"/>
        <v>-3.1020987850464516E-3</v>
      </c>
      <c r="N22" s="6">
        <f t="shared" si="4"/>
        <v>1.3109527845895736E-2</v>
      </c>
      <c r="O22" s="6">
        <f t="shared" si="5"/>
        <v>-4.3279378142991876E-3</v>
      </c>
      <c r="P22" s="6">
        <f t="shared" si="6"/>
        <v>5.6346325560703042E-2</v>
      </c>
      <c r="Q22" s="6">
        <f t="shared" si="7"/>
        <v>1.4847756913441529E-2</v>
      </c>
      <c r="R22" s="6">
        <f t="shared" si="8"/>
        <v>-0.25307752822007684</v>
      </c>
      <c r="S22" s="6">
        <f t="shared" si="9"/>
        <v>1.2518884862627446E-2</v>
      </c>
    </row>
    <row r="23" spans="1:19" x14ac:dyDescent="0.25">
      <c r="A23" s="7">
        <v>41122</v>
      </c>
      <c r="B23">
        <v>24.927336</v>
      </c>
      <c r="C23">
        <v>88.388107000000005</v>
      </c>
      <c r="D23">
        <v>48.263278999999997</v>
      </c>
      <c r="E23">
        <v>46.947876000000001</v>
      </c>
      <c r="F23">
        <v>18.273260000000001</v>
      </c>
      <c r="G23">
        <v>37.901626999999998</v>
      </c>
      <c r="H23">
        <v>78.685103999999995</v>
      </c>
      <c r="I23">
        <v>18.450001</v>
      </c>
      <c r="J23">
        <v>1406.579956</v>
      </c>
      <c r="K23" s="6">
        <f t="shared" si="1"/>
        <v>9.3660203660315897E-3</v>
      </c>
      <c r="L23" s="6">
        <f t="shared" si="2"/>
        <v>8.9728132656471282E-2</v>
      </c>
      <c r="M23" s="6">
        <f t="shared" si="3"/>
        <v>0.12136676814772243</v>
      </c>
      <c r="N23" s="6">
        <f t="shared" si="4"/>
        <v>6.6931301225986312E-3</v>
      </c>
      <c r="O23" s="6">
        <f t="shared" si="5"/>
        <v>-1.9295932646169614E-3</v>
      </c>
      <c r="P23" s="6">
        <f t="shared" si="6"/>
        <v>-2.568355388325623E-2</v>
      </c>
      <c r="Q23" s="6">
        <f t="shared" si="7"/>
        <v>1.1645673773486777E-2</v>
      </c>
      <c r="R23" s="6">
        <f t="shared" si="8"/>
        <v>-2.3568203888277517E-2</v>
      </c>
      <c r="S23" s="6">
        <f t="shared" si="9"/>
        <v>1.9570609872560242E-2</v>
      </c>
    </row>
    <row r="24" spans="1:19" x14ac:dyDescent="0.25">
      <c r="A24" s="7">
        <v>41153</v>
      </c>
      <c r="B24">
        <v>25.856846000000001</v>
      </c>
      <c r="C24">
        <v>88.635238999999999</v>
      </c>
      <c r="D24">
        <v>48.263278999999997</v>
      </c>
      <c r="E24">
        <v>49.614609000000002</v>
      </c>
      <c r="F24">
        <v>20.190968999999999</v>
      </c>
      <c r="G24">
        <v>40.084538000000002</v>
      </c>
      <c r="H24">
        <v>82.425567999999998</v>
      </c>
      <c r="I24">
        <v>19.5</v>
      </c>
      <c r="J24">
        <v>1440.670044</v>
      </c>
      <c r="K24" s="6">
        <f t="shared" si="1"/>
        <v>3.6610368861787167E-2</v>
      </c>
      <c r="L24" s="6">
        <f t="shared" si="2"/>
        <v>2.7920855201557819E-3</v>
      </c>
      <c r="M24" s="6">
        <f t="shared" si="3"/>
        <v>0</v>
      </c>
      <c r="N24" s="6">
        <f t="shared" si="4"/>
        <v>5.5247361639590348E-2</v>
      </c>
      <c r="O24" s="6">
        <f t="shared" si="5"/>
        <v>9.979663616494705E-2</v>
      </c>
      <c r="P24" s="6">
        <f t="shared" si="6"/>
        <v>5.5996633993338707E-2</v>
      </c>
      <c r="Q24" s="6">
        <f t="shared" si="7"/>
        <v>4.6441818269361106E-2</v>
      </c>
      <c r="R24" s="6">
        <f t="shared" si="8"/>
        <v>5.5350040882624317E-2</v>
      </c>
      <c r="S24" s="6">
        <f t="shared" si="9"/>
        <v>2.3947118873094017E-2</v>
      </c>
    </row>
    <row r="25" spans="1:19" x14ac:dyDescent="0.25">
      <c r="A25" s="7">
        <v>41183</v>
      </c>
      <c r="B25">
        <v>25.813274</v>
      </c>
      <c r="C25">
        <v>79.098083000000003</v>
      </c>
      <c r="D25">
        <v>50.512203</v>
      </c>
      <c r="E25">
        <v>46.615715000000002</v>
      </c>
      <c r="F25">
        <v>18.723989</v>
      </c>
      <c r="G25">
        <v>40.555599000000001</v>
      </c>
      <c r="H25">
        <v>82.173203000000001</v>
      </c>
      <c r="I25">
        <v>19.209999</v>
      </c>
      <c r="J25">
        <v>1412.160034</v>
      </c>
      <c r="K25" s="6">
        <f t="shared" si="1"/>
        <v>-1.6865457377745671E-3</v>
      </c>
      <c r="L25" s="6">
        <f t="shared" si="2"/>
        <v>-0.11384087057930577</v>
      </c>
      <c r="M25" s="6">
        <f t="shared" si="3"/>
        <v>4.5543948298334212E-2</v>
      </c>
      <c r="N25" s="6">
        <f t="shared" si="4"/>
        <v>-6.2347610612498862E-2</v>
      </c>
      <c r="O25" s="6">
        <f t="shared" si="5"/>
        <v>-7.5429889273187611E-2</v>
      </c>
      <c r="P25" s="6">
        <f t="shared" si="6"/>
        <v>1.1683173558374114E-2</v>
      </c>
      <c r="Q25" s="6">
        <f t="shared" si="7"/>
        <v>-3.0664287007180196E-3</v>
      </c>
      <c r="R25" s="6">
        <f t="shared" si="8"/>
        <v>-1.4983540845457936E-2</v>
      </c>
      <c r="S25" s="6">
        <f t="shared" si="9"/>
        <v>-1.9987842523252936E-2</v>
      </c>
    </row>
    <row r="26" spans="1:19" x14ac:dyDescent="0.25">
      <c r="A26" s="7">
        <v>41214</v>
      </c>
      <c r="B26">
        <v>25.624468</v>
      </c>
      <c r="C26">
        <v>78.119277999999994</v>
      </c>
      <c r="D26">
        <v>47.659568999999998</v>
      </c>
      <c r="E26">
        <v>47.128185000000002</v>
      </c>
      <c r="F26">
        <v>18.786225999999999</v>
      </c>
      <c r="G26">
        <v>39.373505000000002</v>
      </c>
      <c r="H26">
        <v>79.939589999999995</v>
      </c>
      <c r="I26">
        <v>20.219999000000001</v>
      </c>
      <c r="J26">
        <v>1416.1800539999999</v>
      </c>
      <c r="K26" s="6">
        <f t="shared" si="1"/>
        <v>-7.3411794764007771E-3</v>
      </c>
      <c r="L26" s="6">
        <f t="shared" si="2"/>
        <v>-1.2451775560278173E-2</v>
      </c>
      <c r="M26" s="6">
        <f t="shared" si="3"/>
        <v>-5.8131522247689506E-2</v>
      </c>
      <c r="N26" s="6">
        <f t="shared" si="4"/>
        <v>1.0933513649819041E-2</v>
      </c>
      <c r="O26" s="6">
        <f t="shared" si="5"/>
        <v>3.3184057788984245E-3</v>
      </c>
      <c r="P26" s="6">
        <f t="shared" si="6"/>
        <v>-2.9580719307558543E-2</v>
      </c>
      <c r="Q26" s="6">
        <f t="shared" si="7"/>
        <v>-2.7558026923076399E-2</v>
      </c>
      <c r="R26" s="6">
        <f t="shared" si="8"/>
        <v>5.1241239412096733E-2</v>
      </c>
      <c r="S26" s="6">
        <f t="shared" si="9"/>
        <v>2.8426727918140823E-3</v>
      </c>
    </row>
    <row r="27" spans="1:19" x14ac:dyDescent="0.25">
      <c r="A27" s="7">
        <v>41244</v>
      </c>
      <c r="B27">
        <v>26.592707000000001</v>
      </c>
      <c r="C27">
        <v>71.030510000000007</v>
      </c>
      <c r="D27">
        <v>48.766022</v>
      </c>
      <c r="E27">
        <v>47.977169000000004</v>
      </c>
      <c r="F27">
        <v>18.832059999999998</v>
      </c>
      <c r="G27">
        <v>36.736179</v>
      </c>
      <c r="H27">
        <v>78.497528000000003</v>
      </c>
      <c r="I27">
        <v>23.379999000000002</v>
      </c>
      <c r="J27">
        <v>1426.1899410000001</v>
      </c>
      <c r="K27" s="6">
        <f t="shared" si="1"/>
        <v>3.7089328995602369E-2</v>
      </c>
      <c r="L27" s="6">
        <f t="shared" si="2"/>
        <v>-9.5127360725565047E-2</v>
      </c>
      <c r="M27" s="6">
        <f t="shared" si="3"/>
        <v>2.2950371451547481E-2</v>
      </c>
      <c r="N27" s="6">
        <f t="shared" si="4"/>
        <v>1.7854022227968887E-2</v>
      </c>
      <c r="O27" s="6">
        <f t="shared" si="5"/>
        <v>2.4367948438730417E-3</v>
      </c>
      <c r="P27" s="6">
        <f t="shared" si="6"/>
        <v>-6.9331054881256821E-2</v>
      </c>
      <c r="Q27" s="6">
        <f t="shared" si="7"/>
        <v>-1.8204090576721448E-2</v>
      </c>
      <c r="R27" s="6">
        <f t="shared" si="8"/>
        <v>0.14520874913598175</v>
      </c>
      <c r="S27" s="6">
        <f t="shared" si="9"/>
        <v>7.0433676117494142E-3</v>
      </c>
    </row>
    <row r="28" spans="1:19" x14ac:dyDescent="0.25">
      <c r="A28" s="7">
        <v>41275</v>
      </c>
      <c r="B28">
        <v>27.159126000000001</v>
      </c>
      <c r="C28">
        <v>60.795772999999997</v>
      </c>
      <c r="D28">
        <v>52.926631999999998</v>
      </c>
      <c r="E28">
        <v>51.918255000000002</v>
      </c>
      <c r="F28">
        <v>19.989439000000001</v>
      </c>
      <c r="G28">
        <v>38.808987000000002</v>
      </c>
      <c r="H28">
        <v>81.599334999999996</v>
      </c>
      <c r="I28">
        <v>24.15</v>
      </c>
      <c r="J28">
        <v>1498.1099850000001</v>
      </c>
      <c r="K28" s="6">
        <f t="shared" si="1"/>
        <v>2.1076117233671525E-2</v>
      </c>
      <c r="L28" s="6">
        <f t="shared" si="2"/>
        <v>-0.15558923951973569</v>
      </c>
      <c r="M28" s="6">
        <f t="shared" si="3"/>
        <v>8.1872852775886393E-2</v>
      </c>
      <c r="N28" s="6">
        <f t="shared" si="4"/>
        <v>7.8945210512754896E-2</v>
      </c>
      <c r="O28" s="6">
        <f t="shared" si="5"/>
        <v>5.9643347507374843E-2</v>
      </c>
      <c r="P28" s="6">
        <f t="shared" si="6"/>
        <v>5.4889770230177895E-2</v>
      </c>
      <c r="Q28" s="6">
        <f t="shared" si="7"/>
        <v>3.8753978580381446E-2</v>
      </c>
      <c r="R28" s="6">
        <f t="shared" si="8"/>
        <v>3.2403466826259761E-2</v>
      </c>
      <c r="S28" s="6">
        <f t="shared" si="9"/>
        <v>4.9197792048925292E-2</v>
      </c>
    </row>
    <row r="29" spans="1:19" x14ac:dyDescent="0.25">
      <c r="A29" s="7">
        <v>41306</v>
      </c>
      <c r="B29">
        <v>25.179076999999999</v>
      </c>
      <c r="C29">
        <v>59.258495000000003</v>
      </c>
      <c r="D29">
        <v>51.185836999999999</v>
      </c>
      <c r="E29">
        <v>52.602401999999998</v>
      </c>
      <c r="F29">
        <v>21.003263</v>
      </c>
      <c r="G29">
        <v>38.342381000000003</v>
      </c>
      <c r="H29">
        <v>81.737296999999998</v>
      </c>
      <c r="I29">
        <v>26.709999</v>
      </c>
      <c r="J29">
        <v>1514.6800539999999</v>
      </c>
      <c r="K29" s="6">
        <f t="shared" si="1"/>
        <v>-7.5699750628624718E-2</v>
      </c>
      <c r="L29" s="6">
        <f t="shared" si="2"/>
        <v>-2.5611118263589725E-2</v>
      </c>
      <c r="M29" s="6">
        <f t="shared" si="3"/>
        <v>-3.3443779949271002E-2</v>
      </c>
      <c r="N29" s="6">
        <f t="shared" si="4"/>
        <v>1.3091321668320546E-2</v>
      </c>
      <c r="O29" s="6">
        <f t="shared" si="5"/>
        <v>4.9473722518943802E-2</v>
      </c>
      <c r="P29" s="6">
        <f t="shared" si="6"/>
        <v>-1.2096005587615376E-2</v>
      </c>
      <c r="Q29" s="6">
        <f t="shared" si="7"/>
        <v>1.6892968970828978E-3</v>
      </c>
      <c r="R29" s="6">
        <f t="shared" si="8"/>
        <v>0.10075360958412576</v>
      </c>
      <c r="S29" s="6">
        <f t="shared" si="9"/>
        <v>1.0999927551865671E-2</v>
      </c>
    </row>
    <row r="30" spans="1:19" x14ac:dyDescent="0.25">
      <c r="A30" s="7">
        <v>41334</v>
      </c>
      <c r="B30">
        <v>29.928293</v>
      </c>
      <c r="C30">
        <v>59.42765</v>
      </c>
      <c r="D30">
        <v>54.336018000000003</v>
      </c>
      <c r="E30">
        <v>54.731937000000002</v>
      </c>
      <c r="F30">
        <v>20.912811000000001</v>
      </c>
      <c r="G30">
        <v>40.043736000000003</v>
      </c>
      <c r="H30">
        <v>82.248435999999998</v>
      </c>
      <c r="I30">
        <v>32.009998000000003</v>
      </c>
      <c r="J30">
        <v>1569.1899410000001</v>
      </c>
      <c r="K30" s="6">
        <f t="shared" si="1"/>
        <v>0.17279091529287993</v>
      </c>
      <c r="L30" s="6">
        <f t="shared" si="2"/>
        <v>2.8504610126787581E-3</v>
      </c>
      <c r="M30" s="6">
        <f t="shared" si="3"/>
        <v>5.9724449275871831E-2</v>
      </c>
      <c r="N30" s="6">
        <f t="shared" si="4"/>
        <v>3.9685612353266918E-2</v>
      </c>
      <c r="O30" s="6">
        <f t="shared" si="5"/>
        <v>-4.3158689147268703E-3</v>
      </c>
      <c r="P30" s="6">
        <f t="shared" si="6"/>
        <v>4.3416418855205537E-2</v>
      </c>
      <c r="Q30" s="6">
        <f t="shared" si="7"/>
        <v>6.2339649429888743E-3</v>
      </c>
      <c r="R30" s="6">
        <f t="shared" si="8"/>
        <v>0.18101030181858746</v>
      </c>
      <c r="S30" s="6">
        <f t="shared" si="9"/>
        <v>3.5355293879972854E-2</v>
      </c>
    </row>
    <row r="31" spans="1:19" x14ac:dyDescent="0.25">
      <c r="A31" s="7">
        <v>41365</v>
      </c>
      <c r="B31">
        <v>30.499555999999998</v>
      </c>
      <c r="C31">
        <v>59.443756</v>
      </c>
      <c r="D31">
        <v>55.653198000000003</v>
      </c>
      <c r="E31">
        <v>60.552025</v>
      </c>
      <c r="F31">
        <v>20.162047999999999</v>
      </c>
      <c r="G31">
        <v>42.580444</v>
      </c>
      <c r="H31">
        <v>81.226142999999993</v>
      </c>
      <c r="I31">
        <v>32.299999</v>
      </c>
      <c r="J31">
        <v>1597.5699460000001</v>
      </c>
      <c r="K31" s="6">
        <f t="shared" si="1"/>
        <v>1.8907838969377453E-2</v>
      </c>
      <c r="L31" s="6">
        <f t="shared" si="2"/>
        <v>2.7098190625524646E-4</v>
      </c>
      <c r="M31" s="6">
        <f t="shared" si="3"/>
        <v>2.395222041679437E-2</v>
      </c>
      <c r="N31" s="6">
        <f t="shared" si="4"/>
        <v>0.10105551642152161</v>
      </c>
      <c r="O31" s="6">
        <f t="shared" si="5"/>
        <v>-3.6559912345592589E-2</v>
      </c>
      <c r="P31" s="6">
        <f t="shared" si="6"/>
        <v>6.142283005415889E-2</v>
      </c>
      <c r="Q31" s="6">
        <f t="shared" si="7"/>
        <v>-1.2507220788807085E-2</v>
      </c>
      <c r="R31" s="6">
        <f t="shared" si="8"/>
        <v>9.0189077675630752E-3</v>
      </c>
      <c r="S31" s="6">
        <f t="shared" si="9"/>
        <v>1.792416591460497E-2</v>
      </c>
    </row>
    <row r="32" spans="1:19" x14ac:dyDescent="0.25">
      <c r="A32" s="7">
        <v>41395</v>
      </c>
      <c r="B32">
        <v>31.191846999999999</v>
      </c>
      <c r="C32">
        <v>60.776443</v>
      </c>
      <c r="D32">
        <v>63.910266999999997</v>
      </c>
      <c r="E32">
        <v>60.783287000000001</v>
      </c>
      <c r="F32">
        <v>21.093717999999999</v>
      </c>
      <c r="G32">
        <v>42.308655000000002</v>
      </c>
      <c r="H32">
        <v>83.148276999999993</v>
      </c>
      <c r="I32">
        <v>32.459999000000003</v>
      </c>
      <c r="J32">
        <v>1630.73999</v>
      </c>
      <c r="K32" s="6">
        <f t="shared" si="1"/>
        <v>2.2444620434036205E-2</v>
      </c>
      <c r="L32" s="6">
        <f t="shared" si="2"/>
        <v>2.217167505151486E-2</v>
      </c>
      <c r="M32" s="6">
        <f t="shared" si="3"/>
        <v>0.13834047902571797</v>
      </c>
      <c r="N32" s="6">
        <f t="shared" si="4"/>
        <v>3.8119534408703483E-3</v>
      </c>
      <c r="O32" s="6">
        <f t="shared" si="5"/>
        <v>4.5173245689500985E-2</v>
      </c>
      <c r="P32" s="6">
        <f t="shared" si="6"/>
        <v>-6.4034117901330869E-3</v>
      </c>
      <c r="Q32" s="6">
        <f t="shared" si="7"/>
        <v>2.3388330358434392E-2</v>
      </c>
      <c r="R32" s="6">
        <f t="shared" si="8"/>
        <v>4.9413320104393851E-3</v>
      </c>
      <c r="S32" s="6">
        <f t="shared" si="9"/>
        <v>2.0550202420727141E-2</v>
      </c>
    </row>
    <row r="33" spans="1:19" x14ac:dyDescent="0.25">
      <c r="A33" s="7">
        <v>41426</v>
      </c>
      <c r="B33">
        <v>31.646920999999999</v>
      </c>
      <c r="C33">
        <v>53.587001999999998</v>
      </c>
      <c r="D33">
        <v>67.672416999999996</v>
      </c>
      <c r="E33">
        <v>60.850738999999997</v>
      </c>
      <c r="F33">
        <v>21.143656</v>
      </c>
      <c r="G33">
        <v>42.468651000000001</v>
      </c>
      <c r="H33">
        <v>83.037987000000001</v>
      </c>
      <c r="I33">
        <v>31.290001</v>
      </c>
      <c r="J33">
        <v>1606.280029</v>
      </c>
      <c r="K33" s="6">
        <f t="shared" si="1"/>
        <v>1.4484114513104569E-2</v>
      </c>
      <c r="L33" s="6">
        <f t="shared" si="2"/>
        <v>-0.12589572456695011</v>
      </c>
      <c r="M33" s="6">
        <f t="shared" si="3"/>
        <v>5.7198645655198894E-2</v>
      </c>
      <c r="N33" s="6">
        <f t="shared" si="4"/>
        <v>1.1090976617739443E-3</v>
      </c>
      <c r="O33" s="6">
        <f t="shared" si="5"/>
        <v>2.3646367441808478E-3</v>
      </c>
      <c r="P33" s="6">
        <f t="shared" si="6"/>
        <v>3.7745051713186251E-3</v>
      </c>
      <c r="Q33" s="6">
        <f t="shared" si="7"/>
        <v>-1.3273060424761043E-3</v>
      </c>
      <c r="R33" s="6">
        <f t="shared" si="8"/>
        <v>-3.6709941639414864E-2</v>
      </c>
      <c r="S33" s="6">
        <f t="shared" si="9"/>
        <v>-1.5112928811378473E-2</v>
      </c>
    </row>
    <row r="34" spans="1:19" x14ac:dyDescent="0.25">
      <c r="A34" s="7">
        <v>41456</v>
      </c>
      <c r="B34">
        <v>32.368259000000002</v>
      </c>
      <c r="C34">
        <v>61.154831000000001</v>
      </c>
      <c r="D34">
        <v>73.176651000000007</v>
      </c>
      <c r="E34">
        <v>62.296123999999999</v>
      </c>
      <c r="F34">
        <v>22.219529999999999</v>
      </c>
      <c r="G34">
        <v>44.041221999999998</v>
      </c>
      <c r="H34">
        <v>86.162826999999993</v>
      </c>
      <c r="I34">
        <v>34.849997999999999</v>
      </c>
      <c r="J34">
        <v>1685.7299800000001</v>
      </c>
      <c r="K34" s="6">
        <f t="shared" si="1"/>
        <v>2.2537421045982012E-2</v>
      </c>
      <c r="L34" s="6">
        <f t="shared" si="2"/>
        <v>0.13210232279675954</v>
      </c>
      <c r="M34" s="6">
        <f t="shared" si="3"/>
        <v>7.8197727615329796E-2</v>
      </c>
      <c r="N34" s="6">
        <f t="shared" si="4"/>
        <v>2.3475244791982288E-2</v>
      </c>
      <c r="O34" s="6">
        <f t="shared" si="5"/>
        <v>4.9631724093766871E-2</v>
      </c>
      <c r="P34" s="6">
        <f t="shared" si="6"/>
        <v>3.6359878748922686E-2</v>
      </c>
      <c r="Q34" s="6">
        <f t="shared" si="7"/>
        <v>3.6940665564800093E-2</v>
      </c>
      <c r="R34" s="6">
        <f t="shared" si="8"/>
        <v>0.10775449017783933</v>
      </c>
      <c r="S34" s="6">
        <f t="shared" si="9"/>
        <v>4.82777279585399E-2</v>
      </c>
    </row>
    <row r="35" spans="1:19" x14ac:dyDescent="0.25">
      <c r="A35" s="7">
        <v>41487</v>
      </c>
      <c r="B35">
        <v>32.983089</v>
      </c>
      <c r="C35">
        <v>66.277573000000004</v>
      </c>
      <c r="D35">
        <v>69.737533999999997</v>
      </c>
      <c r="E35">
        <v>58.615208000000003</v>
      </c>
      <c r="F35">
        <v>21.098065999999999</v>
      </c>
      <c r="G35">
        <v>43.236651999999999</v>
      </c>
      <c r="H35">
        <v>80.659820999999994</v>
      </c>
      <c r="I35">
        <v>28.459999</v>
      </c>
      <c r="J35">
        <v>1632.969971</v>
      </c>
      <c r="K35" s="6">
        <f t="shared" si="1"/>
        <v>1.8816693447839563E-2</v>
      </c>
      <c r="L35" s="6">
        <f t="shared" si="2"/>
        <v>8.0442713041484551E-2</v>
      </c>
      <c r="M35" s="6">
        <f t="shared" si="3"/>
        <v>-4.8137713959855034E-2</v>
      </c>
      <c r="N35" s="6">
        <f t="shared" si="4"/>
        <v>-6.0905023672475515E-2</v>
      </c>
      <c r="O35" s="6">
        <f t="shared" si="5"/>
        <v>-5.1790254359236468E-2</v>
      </c>
      <c r="P35" s="6">
        <f t="shared" si="6"/>
        <v>-1.843749750563663E-2</v>
      </c>
      <c r="Q35" s="6">
        <f t="shared" si="7"/>
        <v>-6.5998273107982217E-2</v>
      </c>
      <c r="R35" s="6">
        <f t="shared" si="8"/>
        <v>-0.20255352229305082</v>
      </c>
      <c r="S35" s="6">
        <f t="shared" si="9"/>
        <v>-3.1798267578075287E-2</v>
      </c>
    </row>
    <row r="36" spans="1:19" x14ac:dyDescent="0.25">
      <c r="A36" s="7">
        <v>41518</v>
      </c>
      <c r="B36">
        <v>33.954563</v>
      </c>
      <c r="C36">
        <v>64.853309999999993</v>
      </c>
      <c r="D36">
        <v>72.624640999999997</v>
      </c>
      <c r="E36">
        <v>62.141945</v>
      </c>
      <c r="F36">
        <v>21.949642000000001</v>
      </c>
      <c r="G36">
        <v>43.921543</v>
      </c>
      <c r="H36">
        <v>79.623344000000003</v>
      </c>
      <c r="I36">
        <v>30.709999</v>
      </c>
      <c r="J36">
        <v>1681.5500489999999</v>
      </c>
      <c r="K36" s="6">
        <f t="shared" si="1"/>
        <v>2.9028272936649665E-2</v>
      </c>
      <c r="L36" s="6">
        <f t="shared" si="2"/>
        <v>-2.1723624183677372E-2</v>
      </c>
      <c r="M36" s="6">
        <f t="shared" si="3"/>
        <v>4.056559124438238E-2</v>
      </c>
      <c r="N36" s="6">
        <f t="shared" si="4"/>
        <v>5.8427018667515471E-2</v>
      </c>
      <c r="O36" s="6">
        <f t="shared" si="5"/>
        <v>3.9569452079858833E-2</v>
      </c>
      <c r="P36" s="6">
        <f t="shared" si="6"/>
        <v>1.5716367176288215E-2</v>
      </c>
      <c r="Q36" s="6">
        <f t="shared" si="7"/>
        <v>-1.2933254063260175E-2</v>
      </c>
      <c r="R36" s="6">
        <f t="shared" si="8"/>
        <v>7.6088744365376118E-2</v>
      </c>
      <c r="S36" s="6">
        <f t="shared" si="9"/>
        <v>2.931559128683648E-2</v>
      </c>
    </row>
    <row r="37" spans="1:19" x14ac:dyDescent="0.25">
      <c r="A37" s="7">
        <v>41548</v>
      </c>
      <c r="B37">
        <v>36.767913999999998</v>
      </c>
      <c r="C37">
        <v>71.103988999999999</v>
      </c>
      <c r="D37">
        <v>75.800453000000005</v>
      </c>
      <c r="E37">
        <v>66.092667000000006</v>
      </c>
      <c r="F37">
        <v>24.016895000000002</v>
      </c>
      <c r="G37">
        <v>41.596770999999997</v>
      </c>
      <c r="H37">
        <v>82.936363</v>
      </c>
      <c r="I37">
        <v>33.950001</v>
      </c>
      <c r="J37">
        <v>1756.540039</v>
      </c>
      <c r="K37" s="6">
        <f t="shared" si="1"/>
        <v>7.9602314165214114E-2</v>
      </c>
      <c r="L37" s="6">
        <f t="shared" si="2"/>
        <v>9.2015488990739067E-2</v>
      </c>
      <c r="M37" s="6">
        <f t="shared" si="3"/>
        <v>4.2799996925285771E-2</v>
      </c>
      <c r="N37" s="6">
        <f t="shared" si="4"/>
        <v>6.1636598966074034E-2</v>
      </c>
      <c r="O37" s="6">
        <f t="shared" si="5"/>
        <v>9.0006711425648353E-2</v>
      </c>
      <c r="P37" s="6">
        <f t="shared" si="6"/>
        <v>-5.4382384580139893E-2</v>
      </c>
      <c r="Q37" s="6">
        <f t="shared" si="7"/>
        <v>4.0766286692312914E-2</v>
      </c>
      <c r="R37" s="6">
        <f t="shared" si="8"/>
        <v>0.10030058156973851</v>
      </c>
      <c r="S37" s="6">
        <f t="shared" si="9"/>
        <v>4.3629970975040296E-2</v>
      </c>
    </row>
    <row r="38" spans="1:19" x14ac:dyDescent="0.25">
      <c r="A38" s="7">
        <v>41579</v>
      </c>
      <c r="B38">
        <v>41.376080000000002</v>
      </c>
      <c r="C38">
        <v>76.085014000000001</v>
      </c>
      <c r="D38">
        <v>83.152901</v>
      </c>
      <c r="E38">
        <v>67.971671999999998</v>
      </c>
      <c r="F38">
        <v>24.494661000000001</v>
      </c>
      <c r="G38">
        <v>45.969555</v>
      </c>
      <c r="H38">
        <v>87.097115000000002</v>
      </c>
      <c r="I38">
        <v>39.25</v>
      </c>
      <c r="J38">
        <v>1805.8100589999999</v>
      </c>
      <c r="K38" s="6">
        <f t="shared" si="1"/>
        <v>0.11807737340240705</v>
      </c>
      <c r="L38" s="6">
        <f t="shared" si="2"/>
        <v>6.7707881062609956E-2</v>
      </c>
      <c r="M38" s="6">
        <f t="shared" si="3"/>
        <v>9.2576824901833374E-2</v>
      </c>
      <c r="N38" s="6">
        <f t="shared" si="4"/>
        <v>2.8033227413027068E-2</v>
      </c>
      <c r="O38" s="6">
        <f t="shared" si="5"/>
        <v>1.969763441684285E-2</v>
      </c>
      <c r="P38" s="6">
        <f t="shared" si="6"/>
        <v>9.99567854827417E-2</v>
      </c>
      <c r="Q38" s="6">
        <f t="shared" si="7"/>
        <v>4.8950157582438134E-2</v>
      </c>
      <c r="R38" s="6">
        <f t="shared" si="8"/>
        <v>0.14506256076863169</v>
      </c>
      <c r="S38" s="6">
        <f t="shared" si="9"/>
        <v>2.7663290033784871E-2</v>
      </c>
    </row>
    <row r="39" spans="1:19" x14ac:dyDescent="0.25">
      <c r="A39" s="7">
        <v>41609</v>
      </c>
      <c r="B39">
        <v>44.261879</v>
      </c>
      <c r="C39">
        <v>76.762305999999995</v>
      </c>
      <c r="D39">
        <v>86.394333000000003</v>
      </c>
      <c r="E39">
        <v>74.527175999999997</v>
      </c>
      <c r="F39">
        <v>25.961766999999998</v>
      </c>
      <c r="G39">
        <v>46.591309000000003</v>
      </c>
      <c r="H39">
        <v>94.289978000000005</v>
      </c>
      <c r="I39">
        <v>37.830002</v>
      </c>
      <c r="J39">
        <v>1848.3599850000001</v>
      </c>
      <c r="K39" s="6">
        <f t="shared" si="1"/>
        <v>6.742085132896497E-2</v>
      </c>
      <c r="L39" s="6">
        <f t="shared" si="2"/>
        <v>8.8623919998435073E-3</v>
      </c>
      <c r="M39" s="6">
        <f t="shared" si="3"/>
        <v>3.8240989595496128E-2</v>
      </c>
      <c r="N39" s="6">
        <f t="shared" si="4"/>
        <v>9.2072807249666225E-2</v>
      </c>
      <c r="O39" s="6">
        <f t="shared" si="5"/>
        <v>5.8169780339587931E-2</v>
      </c>
      <c r="P39" s="6">
        <f t="shared" si="6"/>
        <v>1.3434692046941237E-2</v>
      </c>
      <c r="Q39" s="6">
        <f t="shared" si="7"/>
        <v>7.935114569224952E-2</v>
      </c>
      <c r="R39" s="6">
        <f t="shared" si="8"/>
        <v>-3.6848952715386789E-2</v>
      </c>
      <c r="S39" s="6">
        <f t="shared" si="9"/>
        <v>2.3289474066882893E-2</v>
      </c>
    </row>
    <row r="40" spans="1:19" x14ac:dyDescent="0.25">
      <c r="A40" s="7">
        <v>41640</v>
      </c>
      <c r="B40">
        <v>46.923442999999999</v>
      </c>
      <c r="C40">
        <v>68.495255</v>
      </c>
      <c r="D40">
        <v>79.058959999999999</v>
      </c>
      <c r="E40">
        <v>70.830078</v>
      </c>
      <c r="F40">
        <v>23.275745000000001</v>
      </c>
      <c r="G40">
        <v>49.309525000000001</v>
      </c>
      <c r="H40">
        <v>85.867241000000007</v>
      </c>
      <c r="I40">
        <v>45.84</v>
      </c>
      <c r="J40">
        <v>1782.589966</v>
      </c>
      <c r="K40" s="6">
        <f t="shared" si="1"/>
        <v>5.8393613910176716E-2</v>
      </c>
      <c r="L40" s="6">
        <f t="shared" si="2"/>
        <v>-0.11394923958073135</v>
      </c>
      <c r="M40" s="6">
        <f t="shared" si="3"/>
        <v>-8.8728180165230833E-2</v>
      </c>
      <c r="N40" s="6">
        <f t="shared" si="4"/>
        <v>-5.0880096400275271E-2</v>
      </c>
      <c r="O40" s="6">
        <f t="shared" si="5"/>
        <v>-0.10921312453148722</v>
      </c>
      <c r="P40" s="6">
        <f t="shared" si="6"/>
        <v>5.6703245663151991E-2</v>
      </c>
      <c r="Q40" s="6">
        <f t="shared" si="7"/>
        <v>-9.3572511950514747E-2</v>
      </c>
      <c r="R40" s="6">
        <f t="shared" si="8"/>
        <v>0.19205458089345354</v>
      </c>
      <c r="S40" s="6">
        <f t="shared" si="9"/>
        <v>-3.623140748501559E-2</v>
      </c>
    </row>
    <row r="41" spans="1:19" x14ac:dyDescent="0.25">
      <c r="A41" s="7">
        <v>41671</v>
      </c>
      <c r="B41">
        <v>49.758572000000001</v>
      </c>
      <c r="C41">
        <v>72.434471000000002</v>
      </c>
      <c r="D41">
        <v>79.737144000000001</v>
      </c>
      <c r="E41">
        <v>78.829070999999999</v>
      </c>
      <c r="F41">
        <v>23.796772000000001</v>
      </c>
      <c r="G41">
        <v>53.051723000000003</v>
      </c>
      <c r="H41">
        <v>90.331885999999997</v>
      </c>
      <c r="I41">
        <v>44.959999000000003</v>
      </c>
      <c r="J41">
        <v>1859.4499510000001</v>
      </c>
      <c r="K41" s="6">
        <f t="shared" si="1"/>
        <v>5.866534895520787E-2</v>
      </c>
      <c r="L41" s="6">
        <f t="shared" si="2"/>
        <v>5.5917832071712206E-2</v>
      </c>
      <c r="M41" s="6">
        <f t="shared" si="3"/>
        <v>8.5416216926105185E-3</v>
      </c>
      <c r="N41" s="6">
        <f t="shared" si="4"/>
        <v>0.10699810915567481</v>
      </c>
      <c r="O41" s="6">
        <f t="shared" si="5"/>
        <v>2.2138109982936291E-2</v>
      </c>
      <c r="P41" s="6">
        <f t="shared" si="6"/>
        <v>7.3150076071016895E-2</v>
      </c>
      <c r="Q41" s="6">
        <f t="shared" si="7"/>
        <v>5.0688115738697741E-2</v>
      </c>
      <c r="R41" s="6">
        <f t="shared" si="8"/>
        <v>-1.9383889063041622E-2</v>
      </c>
      <c r="S41" s="6">
        <f t="shared" si="9"/>
        <v>4.2213374879040998E-2</v>
      </c>
    </row>
    <row r="42" spans="1:19" x14ac:dyDescent="0.25">
      <c r="A42" s="7">
        <v>41699</v>
      </c>
      <c r="B42">
        <v>50.941437000000001</v>
      </c>
      <c r="C42">
        <v>73.879752999999994</v>
      </c>
      <c r="D42">
        <v>79.803139000000002</v>
      </c>
      <c r="E42">
        <v>78.107208</v>
      </c>
      <c r="F42">
        <v>24.18918</v>
      </c>
      <c r="G42">
        <v>53.259425999999998</v>
      </c>
      <c r="H42">
        <v>91.654921999999999</v>
      </c>
      <c r="I42">
        <v>44.630001</v>
      </c>
      <c r="J42">
        <v>1872.339966</v>
      </c>
      <c r="K42" s="6">
        <f t="shared" si="1"/>
        <v>2.3493928541908106E-2</v>
      </c>
      <c r="L42" s="6">
        <f t="shared" si="2"/>
        <v>1.9756507198494103E-2</v>
      </c>
      <c r="M42" s="6">
        <f t="shared" si="3"/>
        <v>8.2731461325283252E-4</v>
      </c>
      <c r="N42" s="6">
        <f t="shared" si="4"/>
        <v>-9.1995056284722085E-3</v>
      </c>
      <c r="O42" s="6">
        <f t="shared" si="5"/>
        <v>1.6355484515576769E-2</v>
      </c>
      <c r="P42" s="6">
        <f t="shared" si="6"/>
        <v>3.9074596827384537E-3</v>
      </c>
      <c r="Q42" s="6">
        <f t="shared" si="7"/>
        <v>1.4540167210549704E-2</v>
      </c>
      <c r="R42" s="6">
        <f t="shared" si="8"/>
        <v>-7.3668822958112201E-3</v>
      </c>
      <c r="S42" s="6">
        <f t="shared" si="9"/>
        <v>6.9082486153468677E-3</v>
      </c>
    </row>
    <row r="43" spans="1:19" x14ac:dyDescent="0.25">
      <c r="A43" s="7">
        <v>41730</v>
      </c>
      <c r="B43">
        <v>42.876441999999997</v>
      </c>
      <c r="C43">
        <v>81.223129</v>
      </c>
      <c r="D43">
        <v>76.060447999999994</v>
      </c>
      <c r="E43">
        <v>77.395103000000006</v>
      </c>
      <c r="F43">
        <v>25.123487000000001</v>
      </c>
      <c r="G43">
        <v>54.938735999999999</v>
      </c>
      <c r="H43">
        <v>96.093170000000001</v>
      </c>
      <c r="I43">
        <v>40.869999</v>
      </c>
      <c r="J43">
        <v>1883.9499510000001</v>
      </c>
      <c r="K43" s="6">
        <f t="shared" si="1"/>
        <v>-0.17235414123824749</v>
      </c>
      <c r="L43" s="6">
        <f t="shared" si="2"/>
        <v>9.476123444381615E-2</v>
      </c>
      <c r="M43" s="6">
        <f t="shared" si="3"/>
        <v>-4.8034446952187657E-2</v>
      </c>
      <c r="N43" s="6">
        <f t="shared" si="4"/>
        <v>-9.158834660139871E-3</v>
      </c>
      <c r="O43" s="6">
        <f t="shared" si="5"/>
        <v>3.7897719918245434E-2</v>
      </c>
      <c r="P43" s="6">
        <f t="shared" si="6"/>
        <v>3.104387047693127E-2</v>
      </c>
      <c r="Q43" s="6">
        <f t="shared" si="7"/>
        <v>4.7287564496754933E-2</v>
      </c>
      <c r="R43" s="6">
        <f t="shared" si="8"/>
        <v>-8.8010027939270569E-2</v>
      </c>
      <c r="S43" s="6">
        <f t="shared" si="9"/>
        <v>6.18164317838415E-3</v>
      </c>
    </row>
    <row r="44" spans="1:19" x14ac:dyDescent="0.25">
      <c r="A44" s="7">
        <v>41760</v>
      </c>
      <c r="B44">
        <v>42.500912</v>
      </c>
      <c r="C44">
        <v>87.616141999999996</v>
      </c>
      <c r="D44">
        <v>77.965286000000006</v>
      </c>
      <c r="E44">
        <v>81.950630000000004</v>
      </c>
      <c r="F44">
        <v>25.030058</v>
      </c>
      <c r="G44">
        <v>54.282021</v>
      </c>
      <c r="H44">
        <v>94.969559000000004</v>
      </c>
      <c r="I44">
        <v>44.369999</v>
      </c>
      <c r="J44">
        <v>1923.5699460000001</v>
      </c>
      <c r="K44" s="6">
        <f t="shared" si="1"/>
        <v>-8.7970030499368995E-3</v>
      </c>
      <c r="L44" s="6">
        <f t="shared" si="2"/>
        <v>7.5765203863289679E-2</v>
      </c>
      <c r="M44" s="6">
        <f t="shared" si="3"/>
        <v>2.4735283773284454E-2</v>
      </c>
      <c r="N44" s="6">
        <f t="shared" si="4"/>
        <v>5.7193482914407588E-2</v>
      </c>
      <c r="O44" s="6">
        <f t="shared" si="5"/>
        <v>-3.7257230002012008E-3</v>
      </c>
      <c r="P44" s="6">
        <f t="shared" si="6"/>
        <v>-1.2025606345668354E-2</v>
      </c>
      <c r="Q44" s="6">
        <f t="shared" si="7"/>
        <v>-1.1761832977893107E-2</v>
      </c>
      <c r="R44" s="6">
        <f t="shared" si="8"/>
        <v>8.2167269744706256E-2</v>
      </c>
      <c r="S44" s="6">
        <f t="shared" si="9"/>
        <v>2.0812195954315483E-2</v>
      </c>
    </row>
    <row r="45" spans="1:19" x14ac:dyDescent="0.25">
      <c r="A45" s="7">
        <v>41791</v>
      </c>
      <c r="B45">
        <v>41.559714999999997</v>
      </c>
      <c r="C45">
        <v>90.039771999999999</v>
      </c>
      <c r="D45">
        <v>84.237808000000001</v>
      </c>
      <c r="E45">
        <v>83.638214000000005</v>
      </c>
      <c r="F45">
        <v>24.756104000000001</v>
      </c>
      <c r="G45">
        <v>54.681750999999998</v>
      </c>
      <c r="H45">
        <v>95.111259000000004</v>
      </c>
      <c r="I45">
        <v>41.07</v>
      </c>
      <c r="J45">
        <v>1960.2299800000001</v>
      </c>
      <c r="K45" s="6">
        <f t="shared" si="1"/>
        <v>-2.2394225871491581E-2</v>
      </c>
      <c r="L45" s="6">
        <f t="shared" si="2"/>
        <v>2.7286233454201156E-2</v>
      </c>
      <c r="M45" s="6">
        <f t="shared" si="3"/>
        <v>7.7380170251658262E-2</v>
      </c>
      <c r="N45" s="6">
        <f t="shared" si="4"/>
        <v>2.0383528138340695E-2</v>
      </c>
      <c r="O45" s="6">
        <f t="shared" si="5"/>
        <v>-1.1005337790266615E-2</v>
      </c>
      <c r="P45" s="6">
        <f t="shared" si="6"/>
        <v>7.3369668802695243E-3</v>
      </c>
      <c r="Q45" s="6">
        <f t="shared" si="7"/>
        <v>1.4909450384303765E-3</v>
      </c>
      <c r="R45" s="6">
        <f t="shared" si="8"/>
        <v>-7.7285614884599951E-2</v>
      </c>
      <c r="S45" s="6">
        <f t="shared" si="9"/>
        <v>1.8878996624704429E-2</v>
      </c>
    </row>
    <row r="46" spans="1:19" x14ac:dyDescent="0.25">
      <c r="A46" s="7">
        <v>41821</v>
      </c>
      <c r="B46">
        <v>40.873424999999997</v>
      </c>
      <c r="C46">
        <v>92.626732000000004</v>
      </c>
      <c r="D46">
        <v>82.529708999999997</v>
      </c>
      <c r="E46">
        <v>83.774788000000001</v>
      </c>
      <c r="F46">
        <v>23.691628000000001</v>
      </c>
      <c r="G46">
        <v>53.632545</v>
      </c>
      <c r="H46">
        <v>93.467506</v>
      </c>
      <c r="I46">
        <v>46.389999000000003</v>
      </c>
      <c r="J46">
        <v>1930.670044</v>
      </c>
      <c r="K46" s="6">
        <f t="shared" si="1"/>
        <v>-1.6651212287226883E-2</v>
      </c>
      <c r="L46" s="6">
        <f t="shared" si="2"/>
        <v>2.8326298669338577E-2</v>
      </c>
      <c r="M46" s="6">
        <f t="shared" si="3"/>
        <v>-2.0485508986655566E-2</v>
      </c>
      <c r="N46" s="6">
        <f t="shared" si="4"/>
        <v>1.6315821192590663E-3</v>
      </c>
      <c r="O46" s="6">
        <f t="shared" si="5"/>
        <v>-4.3950348081236275E-2</v>
      </c>
      <c r="P46" s="6">
        <f t="shared" si="6"/>
        <v>-1.9373967368767502E-2</v>
      </c>
      <c r="Q46" s="6">
        <f t="shared" si="7"/>
        <v>-1.7433507230320174E-2</v>
      </c>
      <c r="R46" s="6">
        <f t="shared" si="8"/>
        <v>0.12180596923881501</v>
      </c>
      <c r="S46" s="6">
        <f t="shared" si="9"/>
        <v>-1.5194687370535838E-2</v>
      </c>
    </row>
    <row r="47" spans="1:19" x14ac:dyDescent="0.25">
      <c r="A47" s="7">
        <v>41852</v>
      </c>
      <c r="B47">
        <v>38.957355</v>
      </c>
      <c r="C47">
        <v>99.806122000000002</v>
      </c>
      <c r="D47">
        <v>85.623885999999999</v>
      </c>
      <c r="E47">
        <v>87.676727</v>
      </c>
      <c r="F47">
        <v>24.473496999999998</v>
      </c>
      <c r="G47">
        <v>56.817982000000001</v>
      </c>
      <c r="H47">
        <v>94.613274000000004</v>
      </c>
      <c r="I47">
        <v>47.610000999999997</v>
      </c>
      <c r="J47">
        <v>2003.369995</v>
      </c>
      <c r="K47" s="6">
        <f t="shared" si="1"/>
        <v>-4.8012510038987821E-2</v>
      </c>
      <c r="L47" s="6">
        <f t="shared" si="2"/>
        <v>7.4651741624646994E-2</v>
      </c>
      <c r="M47" s="6">
        <f t="shared" si="3"/>
        <v>3.6805948670949988E-2</v>
      </c>
      <c r="N47" s="6">
        <f t="shared" si="4"/>
        <v>4.5524390547318265E-2</v>
      </c>
      <c r="O47" s="6">
        <f t="shared" si="5"/>
        <v>3.2469040140460856E-2</v>
      </c>
      <c r="P47" s="6">
        <f t="shared" si="6"/>
        <v>5.769679348018502E-2</v>
      </c>
      <c r="Q47" s="6">
        <f t="shared" si="7"/>
        <v>1.2183936858505549E-2</v>
      </c>
      <c r="R47" s="6">
        <f t="shared" si="8"/>
        <v>2.5958947003135634E-2</v>
      </c>
      <c r="S47" s="6">
        <f t="shared" si="9"/>
        <v>3.6963644321168353E-2</v>
      </c>
    </row>
    <row r="48" spans="1:19" x14ac:dyDescent="0.25">
      <c r="A48" s="7">
        <v>41883</v>
      </c>
      <c r="B48">
        <v>39.341030000000003</v>
      </c>
      <c r="C48">
        <v>98.102119000000002</v>
      </c>
      <c r="D48">
        <v>83.943862999999993</v>
      </c>
      <c r="E48">
        <v>86.847572</v>
      </c>
      <c r="F48">
        <v>24.338196</v>
      </c>
      <c r="G48">
        <v>56.442169</v>
      </c>
      <c r="H48">
        <v>89.466910999999996</v>
      </c>
      <c r="I48">
        <v>46.790000999999997</v>
      </c>
      <c r="J48">
        <v>1972.290039</v>
      </c>
      <c r="K48" s="6">
        <f t="shared" si="1"/>
        <v>9.8004082952637666E-3</v>
      </c>
      <c r="L48" s="6">
        <f t="shared" si="2"/>
        <v>-1.7220557375624265E-2</v>
      </c>
      <c r="M48" s="6">
        <f t="shared" si="3"/>
        <v>-1.9816008464907508E-2</v>
      </c>
      <c r="N48" s="6">
        <f t="shared" si="4"/>
        <v>-9.5019575296772275E-3</v>
      </c>
      <c r="O48" s="6">
        <f t="shared" si="5"/>
        <v>-5.5438087970501836E-3</v>
      </c>
      <c r="P48" s="6">
        <f t="shared" si="6"/>
        <v>-6.6363036943010217E-3</v>
      </c>
      <c r="Q48" s="6">
        <f t="shared" si="7"/>
        <v>-5.5928935914843853E-2</v>
      </c>
      <c r="R48" s="6">
        <f t="shared" si="8"/>
        <v>-1.7373317960205241E-2</v>
      </c>
      <c r="S48" s="6">
        <f t="shared" si="9"/>
        <v>-1.5635436078483781E-2</v>
      </c>
    </row>
    <row r="49" spans="1:19" x14ac:dyDescent="0.25">
      <c r="A49" s="7">
        <v>41913</v>
      </c>
      <c r="B49">
        <v>46.001159999999999</v>
      </c>
      <c r="C49">
        <v>105.161575</v>
      </c>
      <c r="D49">
        <v>84.516602000000006</v>
      </c>
      <c r="E49">
        <v>89.139961</v>
      </c>
      <c r="F49">
        <v>24.518688000000001</v>
      </c>
      <c r="G49">
        <v>55.166316999999999</v>
      </c>
      <c r="H49">
        <v>91.997283999999993</v>
      </c>
      <c r="I49">
        <v>52.810001</v>
      </c>
      <c r="J49">
        <v>2018.0500489999999</v>
      </c>
      <c r="K49" s="6">
        <f t="shared" si="1"/>
        <v>0.15639861894122556</v>
      </c>
      <c r="L49" s="6">
        <f t="shared" si="2"/>
        <v>6.948901018137861E-2</v>
      </c>
      <c r="M49" s="6">
        <f t="shared" si="3"/>
        <v>6.7997106236736601E-3</v>
      </c>
      <c r="N49" s="6">
        <f t="shared" si="4"/>
        <v>2.6053193954362126E-2</v>
      </c>
      <c r="O49" s="6">
        <f t="shared" si="5"/>
        <v>7.3886341632529865E-3</v>
      </c>
      <c r="P49" s="6">
        <f t="shared" si="6"/>
        <v>-2.2863988677205769E-2</v>
      </c>
      <c r="Q49" s="6">
        <f t="shared" si="7"/>
        <v>2.7890207449937067E-2</v>
      </c>
      <c r="R49" s="6">
        <f t="shared" si="8"/>
        <v>0.12103105940443659</v>
      </c>
      <c r="S49" s="6">
        <f t="shared" si="9"/>
        <v>2.2936398946422354E-2</v>
      </c>
    </row>
    <row r="50" spans="1:19" x14ac:dyDescent="0.25">
      <c r="A50" s="7">
        <v>41944</v>
      </c>
      <c r="B50">
        <v>52.067836999999997</v>
      </c>
      <c r="C50">
        <v>116.306465</v>
      </c>
      <c r="D50">
        <v>81.682029999999997</v>
      </c>
      <c r="E50">
        <v>90.242264000000006</v>
      </c>
      <c r="F50">
        <v>25.164667000000001</v>
      </c>
      <c r="G50">
        <v>57.508552999999999</v>
      </c>
      <c r="H50">
        <v>86.749779000000004</v>
      </c>
      <c r="I50">
        <v>61.23</v>
      </c>
      <c r="J50">
        <v>2067.5600589999999</v>
      </c>
      <c r="K50" s="6">
        <f t="shared" si="1"/>
        <v>0.12388081251524195</v>
      </c>
      <c r="L50" s="6">
        <f t="shared" si="2"/>
        <v>0.10073067004643123</v>
      </c>
      <c r="M50" s="6">
        <f t="shared" si="3"/>
        <v>-3.4113961804755982E-2</v>
      </c>
      <c r="N50" s="6">
        <f t="shared" si="4"/>
        <v>1.2290146083224877E-2</v>
      </c>
      <c r="O50" s="6">
        <f t="shared" si="5"/>
        <v>2.6005305180860448E-2</v>
      </c>
      <c r="P50" s="6">
        <f t="shared" si="6"/>
        <v>4.1581116807190517E-2</v>
      </c>
      <c r="Q50" s="6">
        <f t="shared" si="7"/>
        <v>-5.8731183600843347E-2</v>
      </c>
      <c r="R50" s="6">
        <f t="shared" si="8"/>
        <v>0.14793667983521389</v>
      </c>
      <c r="S50" s="6">
        <f t="shared" si="9"/>
        <v>2.4237473674625542E-2</v>
      </c>
    </row>
    <row r="51" spans="1:19" x14ac:dyDescent="0.25">
      <c r="A51" s="7">
        <v>41974</v>
      </c>
      <c r="B51">
        <v>55.047089</v>
      </c>
      <c r="C51">
        <v>107.94506800000001</v>
      </c>
      <c r="D51">
        <v>86.949355999999995</v>
      </c>
      <c r="E51">
        <v>93.048896999999997</v>
      </c>
      <c r="F51">
        <v>24.231712000000002</v>
      </c>
      <c r="G51">
        <v>54.480105999999999</v>
      </c>
      <c r="H51">
        <v>88.579819000000001</v>
      </c>
      <c r="I51">
        <v>66.889999000000003</v>
      </c>
      <c r="J51">
        <v>2058.8999020000001</v>
      </c>
      <c r="K51" s="6">
        <f t="shared" si="1"/>
        <v>5.564155649211984E-2</v>
      </c>
      <c r="L51" s="6">
        <f t="shared" si="2"/>
        <v>-7.4606178874927195E-2</v>
      </c>
      <c r="M51" s="6">
        <f t="shared" si="3"/>
        <v>6.2491807584583746E-2</v>
      </c>
      <c r="N51" s="6">
        <f t="shared" si="4"/>
        <v>3.0627253088465891E-2</v>
      </c>
      <c r="O51" s="6">
        <f t="shared" si="5"/>
        <v>-3.777871893264579E-2</v>
      </c>
      <c r="P51" s="6">
        <f t="shared" si="6"/>
        <v>-5.4098077060031523E-2</v>
      </c>
      <c r="Q51" s="6">
        <f t="shared" si="7"/>
        <v>2.0876183869029608E-2</v>
      </c>
      <c r="R51" s="6">
        <f t="shared" si="8"/>
        <v>8.8412198690535765E-2</v>
      </c>
      <c r="S51" s="6">
        <f t="shared" si="9"/>
        <v>-4.1973845845717124E-3</v>
      </c>
    </row>
    <row r="52" spans="1:19" x14ac:dyDescent="0.25">
      <c r="A52" s="7">
        <v>42005</v>
      </c>
      <c r="B52">
        <v>62.603732999999998</v>
      </c>
      <c r="C52">
        <v>114.57551599999999</v>
      </c>
      <c r="D52">
        <v>72.935181</v>
      </c>
      <c r="E52">
        <v>89.858024999999998</v>
      </c>
      <c r="F52">
        <v>22.908411000000001</v>
      </c>
      <c r="G52">
        <v>57.828152000000003</v>
      </c>
      <c r="H52">
        <v>83.760390999999998</v>
      </c>
      <c r="I52">
        <v>69.370002999999997</v>
      </c>
      <c r="J52">
        <v>1994.98999</v>
      </c>
      <c r="K52" s="6">
        <f t="shared" si="1"/>
        <v>0.12863592634615204</v>
      </c>
      <c r="L52" s="6">
        <f t="shared" si="2"/>
        <v>5.9611665886646584E-2</v>
      </c>
      <c r="M52" s="6">
        <f t="shared" si="3"/>
        <v>-0.17575471902052076</v>
      </c>
      <c r="N52" s="6">
        <f t="shared" si="4"/>
        <v>-3.489420440893156E-2</v>
      </c>
      <c r="O52" s="6">
        <f t="shared" si="5"/>
        <v>-5.6158052842503456E-2</v>
      </c>
      <c r="P52" s="6">
        <f t="shared" si="6"/>
        <v>5.9640108419713671E-2</v>
      </c>
      <c r="Q52" s="6">
        <f t="shared" si="7"/>
        <v>-5.594382049160377E-2</v>
      </c>
      <c r="R52" s="6">
        <f t="shared" si="8"/>
        <v>3.6405076463170108E-2</v>
      </c>
      <c r="S52" s="6">
        <f t="shared" si="9"/>
        <v>-3.1532779216949261E-2</v>
      </c>
    </row>
    <row r="53" spans="1:19" x14ac:dyDescent="0.25">
      <c r="A53" s="7">
        <v>42036</v>
      </c>
      <c r="B53">
        <v>61.139778</v>
      </c>
      <c r="C53">
        <v>126.12204699999999</v>
      </c>
      <c r="D53">
        <v>78.277702000000005</v>
      </c>
      <c r="E53">
        <v>102.81907699999999</v>
      </c>
      <c r="F53">
        <v>25.151230000000002</v>
      </c>
      <c r="G53">
        <v>56.158923999999999</v>
      </c>
      <c r="H53">
        <v>85.472054</v>
      </c>
      <c r="I53">
        <v>65.180000000000007</v>
      </c>
      <c r="J53">
        <v>2104.5</v>
      </c>
      <c r="K53" s="6">
        <f t="shared" si="1"/>
        <v>-2.3662223470658755E-2</v>
      </c>
      <c r="L53" s="6">
        <f t="shared" si="2"/>
        <v>9.6015931133893798E-2</v>
      </c>
      <c r="M53" s="6">
        <f t="shared" si="3"/>
        <v>7.0691670742740548E-2</v>
      </c>
      <c r="N53" s="6">
        <f t="shared" si="4"/>
        <v>0.13473998496726364</v>
      </c>
      <c r="O53" s="6">
        <f t="shared" si="5"/>
        <v>9.3402666209290969E-2</v>
      </c>
      <c r="P53" s="6">
        <f t="shared" si="6"/>
        <v>-2.9290115937363023E-2</v>
      </c>
      <c r="Q53" s="6">
        <f t="shared" si="7"/>
        <v>2.0229234062481487E-2</v>
      </c>
      <c r="R53" s="6">
        <f t="shared" si="8"/>
        <v>-6.2301867234153423E-2</v>
      </c>
      <c r="S53" s="6">
        <f t="shared" si="9"/>
        <v>5.343887644310899E-2</v>
      </c>
    </row>
    <row r="54" spans="1:19" x14ac:dyDescent="0.25">
      <c r="A54" s="7">
        <v>42064</v>
      </c>
      <c r="B54">
        <v>61.110118999999997</v>
      </c>
      <c r="C54">
        <v>122.16538199999999</v>
      </c>
      <c r="D54">
        <v>77.754874999999998</v>
      </c>
      <c r="E54">
        <v>103.619263</v>
      </c>
      <c r="F54">
        <v>24.009312000000001</v>
      </c>
      <c r="G54">
        <v>55.588253000000002</v>
      </c>
      <c r="H54">
        <v>82.05471</v>
      </c>
      <c r="I54">
        <v>67.25</v>
      </c>
      <c r="J54">
        <v>2067.889893</v>
      </c>
      <c r="K54" s="6">
        <f t="shared" si="1"/>
        <v>-4.8521923224047349E-4</v>
      </c>
      <c r="L54" s="6">
        <f t="shared" si="2"/>
        <v>-3.1874348204845415E-2</v>
      </c>
      <c r="M54" s="6">
        <f t="shared" si="3"/>
        <v>-6.7015358812409932E-3</v>
      </c>
      <c r="N54" s="6">
        <f t="shared" si="4"/>
        <v>7.7523391004948698E-3</v>
      </c>
      <c r="O54" s="6">
        <f t="shared" si="5"/>
        <v>-4.6465046815087244E-2</v>
      </c>
      <c r="P54" s="6">
        <f t="shared" si="6"/>
        <v>-1.0213698033855231E-2</v>
      </c>
      <c r="Q54" s="6">
        <f t="shared" si="7"/>
        <v>-4.0803248802708893E-2</v>
      </c>
      <c r="R54" s="6">
        <f t="shared" si="8"/>
        <v>3.1264345072532916E-2</v>
      </c>
      <c r="S54" s="6">
        <f t="shared" si="9"/>
        <v>-1.7549197229950769E-2</v>
      </c>
    </row>
    <row r="55" spans="1:19" x14ac:dyDescent="0.25">
      <c r="A55" s="7">
        <v>42095</v>
      </c>
      <c r="B55">
        <v>60.675097999999998</v>
      </c>
      <c r="C55">
        <v>122.87228399999999</v>
      </c>
      <c r="D55">
        <v>79.003838000000002</v>
      </c>
      <c r="E55">
        <v>107.402863</v>
      </c>
      <c r="F55">
        <v>26.206053000000001</v>
      </c>
      <c r="G55">
        <v>57.599800000000002</v>
      </c>
      <c r="H55">
        <v>84.342590000000001</v>
      </c>
      <c r="I55">
        <v>59.740001999999997</v>
      </c>
      <c r="J55">
        <v>2085.51001</v>
      </c>
      <c r="K55" s="6">
        <f t="shared" si="1"/>
        <v>-7.1440994389478703E-3</v>
      </c>
      <c r="L55" s="6">
        <f t="shared" si="2"/>
        <v>5.7697575446943664E-3</v>
      </c>
      <c r="M55" s="6">
        <f t="shared" si="3"/>
        <v>1.5935183507071536E-2</v>
      </c>
      <c r="N55" s="6">
        <f t="shared" si="4"/>
        <v>3.5863590240334045E-2</v>
      </c>
      <c r="O55" s="6">
        <f t="shared" si="5"/>
        <v>8.7548659522547811E-2</v>
      </c>
      <c r="P55" s="6">
        <f t="shared" si="6"/>
        <v>3.5547193517600717E-2</v>
      </c>
      <c r="Q55" s="6">
        <f t="shared" si="7"/>
        <v>2.7500736971270107E-2</v>
      </c>
      <c r="R55" s="6">
        <f t="shared" si="8"/>
        <v>-0.11841517221557897</v>
      </c>
      <c r="S55" s="6">
        <f t="shared" si="9"/>
        <v>8.4847224530057719E-3</v>
      </c>
    </row>
    <row r="56" spans="1:19" x14ac:dyDescent="0.25">
      <c r="A56" s="7">
        <v>42125</v>
      </c>
      <c r="B56">
        <v>68.080589000000003</v>
      </c>
      <c r="C56">
        <v>128.44319200000001</v>
      </c>
      <c r="D56">
        <v>82.476653999999996</v>
      </c>
      <c r="E56">
        <v>109.032875</v>
      </c>
      <c r="F56">
        <v>26.389921000000001</v>
      </c>
      <c r="G56">
        <v>58.886028000000003</v>
      </c>
      <c r="H56">
        <v>82.928047000000007</v>
      </c>
      <c r="I56">
        <v>54.59</v>
      </c>
      <c r="J56">
        <v>2107.389893</v>
      </c>
      <c r="K56" s="6">
        <f t="shared" si="1"/>
        <v>0.11515876903994986</v>
      </c>
      <c r="L56" s="6">
        <f t="shared" si="2"/>
        <v>4.4341246524460566E-2</v>
      </c>
      <c r="M56" s="6">
        <f t="shared" si="3"/>
        <v>4.3018837910121607E-2</v>
      </c>
      <c r="N56" s="6">
        <f t="shared" si="4"/>
        <v>1.5062603184790939E-2</v>
      </c>
      <c r="O56" s="6">
        <f t="shared" si="5"/>
        <v>6.9917423346279109E-3</v>
      </c>
      <c r="P56" s="6">
        <f t="shared" si="6"/>
        <v>2.2084751424176079E-2</v>
      </c>
      <c r="Q56" s="6">
        <f t="shared" si="7"/>
        <v>-1.6913628677865108E-2</v>
      </c>
      <c r="R56" s="6">
        <f t="shared" si="8"/>
        <v>-9.0151130472703192E-2</v>
      </c>
      <c r="S56" s="6">
        <f t="shared" si="9"/>
        <v>1.0436729763142673E-2</v>
      </c>
    </row>
    <row r="57" spans="1:19" x14ac:dyDescent="0.25">
      <c r="A57" s="7">
        <v>42156</v>
      </c>
      <c r="B57">
        <v>74.917381000000006</v>
      </c>
      <c r="C57">
        <v>123.661568</v>
      </c>
      <c r="D57">
        <v>85.313277999999997</v>
      </c>
      <c r="E57">
        <v>112.75720200000001</v>
      </c>
      <c r="F57">
        <v>25.931218999999999</v>
      </c>
      <c r="G57">
        <v>55.475140000000003</v>
      </c>
      <c r="H57">
        <v>80.981384000000006</v>
      </c>
      <c r="I57">
        <v>53.009998000000003</v>
      </c>
      <c r="J57">
        <v>2063.110107</v>
      </c>
      <c r="K57" s="6">
        <f t="shared" si="1"/>
        <v>9.5693783863030957E-2</v>
      </c>
      <c r="L57" s="6">
        <f t="shared" si="2"/>
        <v>-3.7938177004641346E-2</v>
      </c>
      <c r="M57" s="6">
        <f t="shared" si="3"/>
        <v>3.3814833276073229E-2</v>
      </c>
      <c r="N57" s="6">
        <f t="shared" si="4"/>
        <v>3.3587409914365388E-2</v>
      </c>
      <c r="O57" s="6">
        <f t="shared" si="5"/>
        <v>-1.7534547323047416E-2</v>
      </c>
      <c r="P57" s="6">
        <f t="shared" si="6"/>
        <v>-5.9668854422992017E-2</v>
      </c>
      <c r="Q57" s="6">
        <f t="shared" si="7"/>
        <v>-2.3754027106258926E-2</v>
      </c>
      <c r="R57" s="6">
        <f t="shared" si="8"/>
        <v>-2.9370178522682699E-2</v>
      </c>
      <c r="S57" s="6">
        <f t="shared" si="9"/>
        <v>-2.1235559276432083E-2</v>
      </c>
    </row>
    <row r="58" spans="1:19" x14ac:dyDescent="0.25">
      <c r="A58" s="7">
        <v>42186</v>
      </c>
      <c r="B58">
        <v>74.867835999999997</v>
      </c>
      <c r="C58">
        <v>119.589798</v>
      </c>
      <c r="D58">
        <v>86.132103000000001</v>
      </c>
      <c r="E58">
        <v>119.23567199999999</v>
      </c>
      <c r="F58">
        <v>25.472518999999998</v>
      </c>
      <c r="G58">
        <v>57.453262000000002</v>
      </c>
      <c r="H58">
        <v>77.097778000000005</v>
      </c>
      <c r="I58">
        <v>56.389999000000003</v>
      </c>
      <c r="J58">
        <v>2103.8400879999999</v>
      </c>
      <c r="K58" s="6">
        <f t="shared" si="1"/>
        <v>-6.6154728482902328E-4</v>
      </c>
      <c r="L58" s="6">
        <f t="shared" si="2"/>
        <v>-3.3481007104020764E-2</v>
      </c>
      <c r="M58" s="6">
        <f t="shared" si="3"/>
        <v>9.5520943309748453E-3</v>
      </c>
      <c r="N58" s="6">
        <f t="shared" si="4"/>
        <v>5.5865119432052274E-2</v>
      </c>
      <c r="O58" s="6">
        <f t="shared" si="5"/>
        <v>-1.7847424861069834E-2</v>
      </c>
      <c r="P58" s="6">
        <f t="shared" si="6"/>
        <v>3.5036790016602239E-2</v>
      </c>
      <c r="Q58" s="6">
        <f t="shared" si="7"/>
        <v>-4.9144840658304281E-2</v>
      </c>
      <c r="R58" s="6">
        <f t="shared" si="8"/>
        <v>6.1811282814466358E-2</v>
      </c>
      <c r="S58" s="6">
        <f t="shared" si="9"/>
        <v>1.954968324649287E-2</v>
      </c>
    </row>
    <row r="59" spans="1:19" x14ac:dyDescent="0.25">
      <c r="A59" s="7">
        <v>42217</v>
      </c>
      <c r="B59">
        <v>66.795165999999995</v>
      </c>
      <c r="C59">
        <v>111.673416</v>
      </c>
      <c r="D59">
        <v>79.206397999999993</v>
      </c>
      <c r="E59">
        <v>101.23107899999999</v>
      </c>
      <c r="F59">
        <v>24.223291</v>
      </c>
      <c r="G59">
        <v>52.473846000000002</v>
      </c>
      <c r="H59">
        <v>73.918861000000007</v>
      </c>
      <c r="I59">
        <v>56.970001000000003</v>
      </c>
      <c r="J59">
        <v>1972.1800539999999</v>
      </c>
      <c r="K59" s="6">
        <f t="shared" si="1"/>
        <v>-0.11409365973761859</v>
      </c>
      <c r="L59" s="6">
        <f t="shared" si="2"/>
        <v>-6.848885375337925E-2</v>
      </c>
      <c r="M59" s="6">
        <f t="shared" si="3"/>
        <v>-8.3825120696685504E-2</v>
      </c>
      <c r="N59" s="6">
        <f t="shared" si="4"/>
        <v>-0.16369615715691252</v>
      </c>
      <c r="O59" s="6">
        <f t="shared" si="5"/>
        <v>-5.0285576435816853E-2</v>
      </c>
      <c r="P59" s="6">
        <f t="shared" si="6"/>
        <v>-9.0656908450987603E-2</v>
      </c>
      <c r="Q59" s="6">
        <f t="shared" si="7"/>
        <v>-4.2106441774399338E-2</v>
      </c>
      <c r="R59" s="6">
        <f t="shared" si="8"/>
        <v>1.0233010959952344E-2</v>
      </c>
      <c r="S59" s="6">
        <f t="shared" si="9"/>
        <v>-6.4624730898542204E-2</v>
      </c>
    </row>
    <row r="60" spans="1:19" x14ac:dyDescent="0.25">
      <c r="A60" s="7">
        <v>42248</v>
      </c>
      <c r="B60">
        <v>68.016852999999998</v>
      </c>
      <c r="C60">
        <v>109.237122</v>
      </c>
      <c r="D60">
        <v>74.799499999999995</v>
      </c>
      <c r="E60">
        <v>101.549042</v>
      </c>
      <c r="F60">
        <v>24.833952</v>
      </c>
      <c r="G60">
        <v>48.542167999999997</v>
      </c>
      <c r="H60">
        <v>73.044487000000004</v>
      </c>
      <c r="I60">
        <v>53.049999</v>
      </c>
      <c r="J60">
        <v>1920.030029</v>
      </c>
      <c r="K60" s="6">
        <f t="shared" si="1"/>
        <v>1.8124800049932437E-2</v>
      </c>
      <c r="L60" s="6">
        <f t="shared" si="2"/>
        <v>-2.2057732523948874E-2</v>
      </c>
      <c r="M60" s="6">
        <f t="shared" si="3"/>
        <v>-5.7245877919794415E-2</v>
      </c>
      <c r="N60" s="6">
        <f t="shared" si="4"/>
        <v>3.1360397559915534E-3</v>
      </c>
      <c r="O60" s="6">
        <f t="shared" si="5"/>
        <v>2.48971408261126E-2</v>
      </c>
      <c r="P60" s="6">
        <f t="shared" si="6"/>
        <v>-7.7882010544875369E-2</v>
      </c>
      <c r="Q60" s="6">
        <f t="shared" si="7"/>
        <v>-1.1899352173088518E-2</v>
      </c>
      <c r="R60" s="6">
        <f t="shared" si="8"/>
        <v>-7.1289984835551656E-2</v>
      </c>
      <c r="S60" s="6">
        <f t="shared" si="9"/>
        <v>-2.6798731264652844E-2</v>
      </c>
    </row>
    <row r="61" spans="1:19" x14ac:dyDescent="0.25">
      <c r="A61" s="7">
        <v>42278</v>
      </c>
      <c r="B61">
        <v>69.695419000000001</v>
      </c>
      <c r="C61">
        <v>118.348465</v>
      </c>
      <c r="D61">
        <v>80.973090999999997</v>
      </c>
      <c r="E61">
        <v>113.015541</v>
      </c>
      <c r="F61">
        <v>28.477315999999998</v>
      </c>
      <c r="G61">
        <v>53.721702999999998</v>
      </c>
      <c r="H61">
        <v>81.287170000000003</v>
      </c>
      <c r="I61">
        <v>60.310001</v>
      </c>
      <c r="J61">
        <v>2079.360107</v>
      </c>
      <c r="K61" s="6">
        <f t="shared" si="1"/>
        <v>2.4379078368231746E-2</v>
      </c>
      <c r="L61" s="6">
        <f t="shared" si="2"/>
        <v>8.0112415274135831E-2</v>
      </c>
      <c r="M61" s="6">
        <f t="shared" si="3"/>
        <v>7.9305689135858601E-2</v>
      </c>
      <c r="N61" s="6">
        <f t="shared" si="4"/>
        <v>0.10698348602384396</v>
      </c>
      <c r="O61" s="6">
        <f t="shared" si="5"/>
        <v>0.13689609137096057</v>
      </c>
      <c r="P61" s="6">
        <f t="shared" si="6"/>
        <v>0.10138420907178201</v>
      </c>
      <c r="Q61" s="6">
        <f t="shared" si="7"/>
        <v>0.10691952703041596</v>
      </c>
      <c r="R61" s="6">
        <f t="shared" si="8"/>
        <v>0.12826309783404297</v>
      </c>
      <c r="S61" s="6">
        <f t="shared" si="9"/>
        <v>7.9719379495131665E-2</v>
      </c>
    </row>
    <row r="62" spans="1:19" x14ac:dyDescent="0.25">
      <c r="A62" s="7">
        <v>42309</v>
      </c>
      <c r="B62">
        <v>57.258923000000003</v>
      </c>
      <c r="C62">
        <v>117.661545</v>
      </c>
      <c r="D62">
        <v>85.633987000000005</v>
      </c>
      <c r="E62">
        <v>112.74726099999999</v>
      </c>
      <c r="F62">
        <v>29.481703</v>
      </c>
      <c r="G62">
        <v>52.100025000000002</v>
      </c>
      <c r="H62">
        <v>80.925506999999996</v>
      </c>
      <c r="I62">
        <v>55.73</v>
      </c>
      <c r="J62">
        <v>2080.4099120000001</v>
      </c>
      <c r="K62" s="6">
        <f t="shared" si="1"/>
        <v>-0.19655110052140137</v>
      </c>
      <c r="L62" s="6">
        <f t="shared" si="2"/>
        <v>-5.8211254659747674E-3</v>
      </c>
      <c r="M62" s="6">
        <f t="shared" si="3"/>
        <v>5.596535913698264E-2</v>
      </c>
      <c r="N62" s="6">
        <f t="shared" si="4"/>
        <v>-2.3766548244857559E-3</v>
      </c>
      <c r="O62" s="6">
        <f t="shared" si="5"/>
        <v>3.4661993101195672E-2</v>
      </c>
      <c r="P62" s="6">
        <f t="shared" si="6"/>
        <v>-3.0651643961645405E-2</v>
      </c>
      <c r="Q62" s="6">
        <f t="shared" si="7"/>
        <v>-4.459128669336153E-3</v>
      </c>
      <c r="R62" s="6">
        <f t="shared" si="8"/>
        <v>-7.8979342462448504E-2</v>
      </c>
      <c r="S62" s="6">
        <f t="shared" si="9"/>
        <v>5.0474185711855491E-4</v>
      </c>
    </row>
    <row r="63" spans="1:19" x14ac:dyDescent="0.25">
      <c r="A63" s="7">
        <v>42339</v>
      </c>
      <c r="B63">
        <v>55.655113</v>
      </c>
      <c r="C63">
        <v>104.691917</v>
      </c>
      <c r="D63">
        <v>80.548393000000004</v>
      </c>
      <c r="E63">
        <v>105.08000199999999</v>
      </c>
      <c r="F63">
        <v>30.902607</v>
      </c>
      <c r="G63">
        <v>52.361908</v>
      </c>
      <c r="H63">
        <v>77.248870999999994</v>
      </c>
      <c r="I63">
        <v>57.299999</v>
      </c>
      <c r="J63">
        <v>2043.9399410000001</v>
      </c>
      <c r="K63" s="6">
        <f>LN(B63/B62)</f>
        <v>-2.8409539242635683E-2</v>
      </c>
      <c r="L63" s="6">
        <f t="shared" ref="L63:S63" si="10">LN(C63/C62)</f>
        <v>-0.11679032703755814</v>
      </c>
      <c r="M63" s="6">
        <f t="shared" si="10"/>
        <v>-6.1224089656382916E-2</v>
      </c>
      <c r="N63" s="6">
        <f t="shared" si="10"/>
        <v>-7.042670155433231E-2</v>
      </c>
      <c r="O63" s="6">
        <f t="shared" si="10"/>
        <v>4.7070715645959549E-2</v>
      </c>
      <c r="P63" s="6">
        <f t="shared" si="10"/>
        <v>5.0139518026798644E-3</v>
      </c>
      <c r="Q63" s="6">
        <f t="shared" si="10"/>
        <v>-4.649676406859872E-2</v>
      </c>
      <c r="R63" s="6">
        <f t="shared" si="10"/>
        <v>2.7782004687241815E-2</v>
      </c>
      <c r="S63" s="6">
        <f t="shared" si="10"/>
        <v>-1.7685658536441762E-2</v>
      </c>
    </row>
    <row r="65" spans="1:19" x14ac:dyDescent="0.25">
      <c r="A65" s="1" t="s">
        <v>8</v>
      </c>
      <c r="K65" s="6">
        <f>STDEV(K4:K63)</f>
        <v>7.0573903657345283E-2</v>
      </c>
      <c r="L65" s="6">
        <f t="shared" ref="L65:S65" si="11">STDEV(L4:L63)</f>
        <v>7.0644399021389637E-2</v>
      </c>
      <c r="M65" s="6">
        <f t="shared" si="11"/>
        <v>7.4571119047637136E-2</v>
      </c>
      <c r="N65" s="6">
        <f t="shared" si="11"/>
        <v>5.9644495932800051E-2</v>
      </c>
      <c r="O65" s="6">
        <f t="shared" si="11"/>
        <v>5.4868353890762112E-2</v>
      </c>
      <c r="P65" s="6">
        <f t="shared" si="11"/>
        <v>4.6907099052965022E-2</v>
      </c>
      <c r="Q65" s="6">
        <f t="shared" si="11"/>
        <v>4.4752644642348231E-2</v>
      </c>
      <c r="R65" s="6">
        <f t="shared" si="11"/>
        <v>9.6242989649939312E-2</v>
      </c>
      <c r="S65" s="6">
        <f t="shared" si="11"/>
        <v>3.354756935769896E-2</v>
      </c>
    </row>
    <row r="66" spans="1:19" x14ac:dyDescent="0.25">
      <c r="A66" s="1" t="s">
        <v>9</v>
      </c>
      <c r="K66" s="6">
        <f>K65*SQRT(12)</f>
        <v>0.24447517364598606</v>
      </c>
      <c r="L66" s="6">
        <f t="shared" ref="L66:S66" si="12">L65*SQRT(12)</f>
        <v>0.24471937675043184</v>
      </c>
      <c r="M66" s="6">
        <f t="shared" si="12"/>
        <v>0.25832193393554959</v>
      </c>
      <c r="N66" s="6">
        <f t="shared" si="12"/>
        <v>0.20661459469488988</v>
      </c>
      <c r="O66" s="6">
        <f t="shared" si="12"/>
        <v>0.19006955333293893</v>
      </c>
      <c r="P66" s="6">
        <f t="shared" si="12"/>
        <v>0.16249095759080276</v>
      </c>
      <c r="Q66" s="6">
        <f t="shared" si="12"/>
        <v>0.15502770858724449</v>
      </c>
      <c r="R66" s="6">
        <f t="shared" si="12"/>
        <v>0.33339549589204093</v>
      </c>
      <c r="S66" s="6">
        <f t="shared" si="12"/>
        <v>0.1162121891959508</v>
      </c>
    </row>
    <row r="67" spans="1:19" x14ac:dyDescent="0.25">
      <c r="A67" s="1" t="s">
        <v>10</v>
      </c>
      <c r="K67">
        <f>CORREL(K4:K63,$S$4:$S$63)</f>
        <v>0.11308152411792301</v>
      </c>
      <c r="L67">
        <f t="shared" ref="L67:S67" si="13">CORREL(L4:L63,$S$4:$S$63)</f>
        <v>0.42540620529821294</v>
      </c>
      <c r="M67">
        <f t="shared" si="13"/>
        <v>0.75462451043994294</v>
      </c>
      <c r="N67">
        <f t="shared" si="13"/>
        <v>0.79696238851980861</v>
      </c>
      <c r="O67">
        <f t="shared" si="13"/>
        <v>0.72869083053038652</v>
      </c>
      <c r="P67">
        <f t="shared" si="13"/>
        <v>0.44109333870821926</v>
      </c>
      <c r="Q67">
        <f t="shared" si="13"/>
        <v>0.70821326553276465</v>
      </c>
      <c r="R67">
        <f t="shared" si="13"/>
        <v>0.11606350734604781</v>
      </c>
      <c r="S67">
        <f t="shared" si="13"/>
        <v>1</v>
      </c>
    </row>
    <row r="68" spans="1:19" x14ac:dyDescent="0.25">
      <c r="A68" s="1" t="s">
        <v>11</v>
      </c>
      <c r="K68">
        <f>K67*(K66/$S$66)</f>
        <v>0.23788920453316137</v>
      </c>
      <c r="L68">
        <f t="shared" ref="L68:S68" si="14">L67*(L66/$S$66)</f>
        <v>0.89581946736076346</v>
      </c>
      <c r="M68">
        <f t="shared" si="14"/>
        <v>1.6774149448585174</v>
      </c>
      <c r="N68">
        <f t="shared" si="14"/>
        <v>1.4169259010639912</v>
      </c>
      <c r="O68">
        <f t="shared" si="14"/>
        <v>1.1918021821547846</v>
      </c>
      <c r="P68">
        <f t="shared" si="14"/>
        <v>0.61674837630646917</v>
      </c>
      <c r="Q68">
        <f t="shared" si="14"/>
        <v>0.94476044644084345</v>
      </c>
      <c r="R68">
        <f t="shared" si="14"/>
        <v>0.33296894976618685</v>
      </c>
      <c r="S68">
        <f t="shared" si="14"/>
        <v>1</v>
      </c>
    </row>
    <row r="69" spans="1:19" x14ac:dyDescent="0.25">
      <c r="A69" s="1" t="s">
        <v>12</v>
      </c>
      <c r="J69" s="10"/>
      <c r="K69" s="10">
        <f>$U$1+K68*$U$2</f>
        <v>4.3559684658390198E-2</v>
      </c>
      <c r="L69" s="10">
        <f t="shared" ref="L69:S69" si="15">$U$1+L68*$U$2</f>
        <v>8.1061709639563523E-2</v>
      </c>
      <c r="M69" s="10">
        <f t="shared" si="15"/>
        <v>0.12561265185693549</v>
      </c>
      <c r="N69" s="10">
        <f t="shared" si="15"/>
        <v>0.11076477636064749</v>
      </c>
      <c r="O69" s="10">
        <f t="shared" si="15"/>
        <v>9.7932724382822731E-2</v>
      </c>
      <c r="P69" s="10">
        <f t="shared" si="15"/>
        <v>6.5154657449468745E-2</v>
      </c>
      <c r="Q69" s="10">
        <f t="shared" si="15"/>
        <v>8.3851345447128078E-2</v>
      </c>
      <c r="R69" s="10">
        <f t="shared" si="15"/>
        <v>4.8979230136672651E-2</v>
      </c>
      <c r="S69" s="10">
        <f t="shared" si="15"/>
        <v>8.6999999999999994E-2</v>
      </c>
    </row>
  </sheetData>
  <mergeCells count="2">
    <mergeCell ref="B1:J1"/>
    <mergeCell ref="K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3" sqref="B3"/>
    </sheetView>
  </sheetViews>
  <sheetFormatPr defaultRowHeight="15" x14ac:dyDescent="0.25"/>
  <cols>
    <col min="11" max="11" width="9.5703125" customWidth="1"/>
    <col min="12" max="12" width="10" customWidth="1"/>
  </cols>
  <sheetData>
    <row r="1" spans="1:12" x14ac:dyDescent="0.25">
      <c r="C1" s="34" t="s">
        <v>17</v>
      </c>
      <c r="D1" s="34"/>
      <c r="E1" s="34"/>
      <c r="F1" s="34"/>
      <c r="G1" s="34"/>
      <c r="H1" s="34"/>
    </row>
    <row r="2" spans="1:12" x14ac:dyDescent="0.25">
      <c r="A2" s="13"/>
      <c r="B2" s="22" t="str">
        <f>Returns!B2</f>
        <v>PZZA</v>
      </c>
      <c r="C2" s="22" t="str">
        <f>Returns!C2</f>
        <v>AAPL</v>
      </c>
      <c r="D2" s="22" t="str">
        <f>Returns!D2</f>
        <v>PRU</v>
      </c>
      <c r="E2" s="22" t="str">
        <f>Returns!E2</f>
        <v>DIS</v>
      </c>
      <c r="F2" s="22" t="str">
        <f>Returns!F2</f>
        <v>GE</v>
      </c>
      <c r="G2" s="22" t="str">
        <f>Returns!G2</f>
        <v>MRK</v>
      </c>
      <c r="H2" s="22" t="str">
        <f>Returns!H2</f>
        <v>XOM</v>
      </c>
      <c r="I2" s="22" t="str">
        <f>Returns!I2</f>
        <v>UAL</v>
      </c>
      <c r="J2" s="13"/>
      <c r="K2" s="13" t="s">
        <v>15</v>
      </c>
      <c r="L2" s="13" t="s">
        <v>42</v>
      </c>
    </row>
    <row r="3" spans="1:12" x14ac:dyDescent="0.25">
      <c r="A3" s="23" t="str">
        <f>B2</f>
        <v>PZZA</v>
      </c>
      <c r="B3" s="12">
        <f>CORREL(PZZA,PZZA)</f>
        <v>1.0000000000000002</v>
      </c>
      <c r="C3" s="12">
        <f>B4</f>
        <v>-9.4415626142207269E-3</v>
      </c>
      <c r="D3" s="12">
        <f>B5</f>
        <v>-2.0637472534702592E-2</v>
      </c>
      <c r="E3" s="12">
        <f>B6</f>
        <v>0.24069585614655606</v>
      </c>
      <c r="F3" s="12">
        <f>B7</f>
        <v>-7.5677074896991464E-2</v>
      </c>
      <c r="G3" s="12">
        <f>B8</f>
        <v>0.19589995864661702</v>
      </c>
      <c r="H3" s="12">
        <f>B9</f>
        <v>-1.7484110042173647E-2</v>
      </c>
      <c r="I3" s="12">
        <f>B10</f>
        <v>0.32225241504483154</v>
      </c>
      <c r="J3" s="12"/>
      <c r="K3" s="10">
        <f>Returns!K66</f>
        <v>0.24447517364598606</v>
      </c>
      <c r="L3" s="10">
        <f>Returns!K69</f>
        <v>4.3559684658390198E-2</v>
      </c>
    </row>
    <row r="4" spans="1:12" x14ac:dyDescent="0.25">
      <c r="A4" s="23" t="str">
        <f>C2</f>
        <v>AAPL</v>
      </c>
      <c r="B4" s="12">
        <f>CORREL(PZZA,AAPL)</f>
        <v>-9.4415626142207269E-3</v>
      </c>
      <c r="C4" s="12">
        <f>CORREL(AAPL,AAPL)</f>
        <v>1</v>
      </c>
      <c r="D4" s="12">
        <f>C5</f>
        <v>0.19978718109939034</v>
      </c>
      <c r="E4" s="12">
        <f>C6</f>
        <v>0.33245266725845812</v>
      </c>
      <c r="F4" s="12">
        <f>C7</f>
        <v>0.33585696139505306</v>
      </c>
      <c r="G4" s="12">
        <f>C8</f>
        <v>0.12093185075272916</v>
      </c>
      <c r="H4" s="12">
        <f>C9</f>
        <v>0.29910586470082628</v>
      </c>
      <c r="I4" s="12">
        <f>C10</f>
        <v>-0.12722184176816062</v>
      </c>
      <c r="J4" s="12"/>
      <c r="K4" s="10">
        <f>Returns!L66</f>
        <v>0.24471937675043184</v>
      </c>
      <c r="L4" s="10">
        <f>Returns!L69</f>
        <v>8.1061709639563523E-2</v>
      </c>
    </row>
    <row r="5" spans="1:12" x14ac:dyDescent="0.25">
      <c r="A5" s="23" t="str">
        <f>D2</f>
        <v>PRU</v>
      </c>
      <c r="B5" s="12">
        <f>CORREL(PZZA,PRU)</f>
        <v>-2.0637472534702592E-2</v>
      </c>
      <c r="C5" s="12">
        <f>CORREL(AAPL,PRU)</f>
        <v>0.19978718109939034</v>
      </c>
      <c r="D5" s="12">
        <f>CORREL(PRU,PRU)</f>
        <v>1.0000000000000002</v>
      </c>
      <c r="E5" s="12">
        <f>D6</f>
        <v>0.50141888412254054</v>
      </c>
      <c r="F5" s="12">
        <f>D7</f>
        <v>0.50092838608158796</v>
      </c>
      <c r="G5" s="12">
        <f>D8</f>
        <v>0.18143061728696785</v>
      </c>
      <c r="H5" s="12">
        <f>D9</f>
        <v>0.60968417747806924</v>
      </c>
      <c r="I5" s="12">
        <f>D10</f>
        <v>1.8500899136184523E-2</v>
      </c>
      <c r="J5" s="12"/>
      <c r="K5" s="10">
        <f>Returns!M66</f>
        <v>0.25832193393554959</v>
      </c>
      <c r="L5" s="10">
        <f>Returns!M69</f>
        <v>0.12561265185693549</v>
      </c>
    </row>
    <row r="6" spans="1:12" x14ac:dyDescent="0.25">
      <c r="A6" s="23" t="str">
        <f>E2</f>
        <v>DIS</v>
      </c>
      <c r="B6" s="12">
        <f>CORREL(PZZA,DIS)</f>
        <v>0.24069585614655606</v>
      </c>
      <c r="C6" s="12">
        <f>CORREL(AAPL,DIS)</f>
        <v>0.33245266725845812</v>
      </c>
      <c r="D6" s="12">
        <f>CORREL(PRU,DIS)</f>
        <v>0.50141888412254054</v>
      </c>
      <c r="E6" s="12">
        <f>CORREL(DIS,DIS)</f>
        <v>1</v>
      </c>
      <c r="F6" s="12">
        <f>E7</f>
        <v>0.6392433588632811</v>
      </c>
      <c r="G6" s="12">
        <f>E8</f>
        <v>0.30291814487215679</v>
      </c>
      <c r="H6" s="12">
        <f>E9</f>
        <v>0.59030013804815651</v>
      </c>
      <c r="I6" s="12">
        <f>E10</f>
        <v>7.1637925283115106E-2</v>
      </c>
      <c r="J6" s="12"/>
      <c r="K6" s="10">
        <f>Returns!N66</f>
        <v>0.20661459469488988</v>
      </c>
      <c r="L6" s="10">
        <f>Returns!N69</f>
        <v>0.11076477636064749</v>
      </c>
    </row>
    <row r="7" spans="1:12" x14ac:dyDescent="0.25">
      <c r="A7" s="23" t="str">
        <f>F2</f>
        <v>GE</v>
      </c>
      <c r="B7" s="12">
        <f>CORREL(PZZA,GE)</f>
        <v>-7.5677074896991464E-2</v>
      </c>
      <c r="C7" s="12">
        <f>CORREL(AAPL,GE)</f>
        <v>0.33585696139505306</v>
      </c>
      <c r="D7" s="12">
        <f>CORREL(PRU,GE)</f>
        <v>0.50092838608158796</v>
      </c>
      <c r="E7" s="12">
        <f>CORREL(DIS,GE)</f>
        <v>0.6392433588632811</v>
      </c>
      <c r="F7" s="12">
        <f>CORREL(GE,GE)</f>
        <v>1</v>
      </c>
      <c r="G7" s="12">
        <f>F8</f>
        <v>0.24017864271577188</v>
      </c>
      <c r="H7" s="12">
        <f>F9</f>
        <v>0.73005063389736624</v>
      </c>
      <c r="I7" s="12">
        <f>F10</f>
        <v>6.4732594060534415E-2</v>
      </c>
      <c r="J7" s="12"/>
      <c r="K7" s="10">
        <f>Returns!O66</f>
        <v>0.19006955333293893</v>
      </c>
      <c r="L7" s="10">
        <f>Returns!O69</f>
        <v>9.7932724382822731E-2</v>
      </c>
    </row>
    <row r="8" spans="1:12" x14ac:dyDescent="0.25">
      <c r="A8" s="23" t="str">
        <f>G2</f>
        <v>MRK</v>
      </c>
      <c r="B8" s="12">
        <f>CORREL(PZZA,MRK)</f>
        <v>0.19589995864661702</v>
      </c>
      <c r="C8" s="12">
        <f>CORREL(AAPL,MRK)</f>
        <v>0.12093185075272916</v>
      </c>
      <c r="D8" s="12">
        <f>CORREL(PRU,MRK)</f>
        <v>0.18143061728696785</v>
      </c>
      <c r="E8" s="12">
        <f>CORREL(DIS,MRK)</f>
        <v>0.30291814487215679</v>
      </c>
      <c r="F8" s="12">
        <f>CORREL(GE,MRK)</f>
        <v>0.24017864271577188</v>
      </c>
      <c r="G8" s="12">
        <f>CORREL(MRK,MRK)</f>
        <v>0.99999999999999978</v>
      </c>
      <c r="H8" s="12">
        <f>G9</f>
        <v>0.31270531261829365</v>
      </c>
      <c r="I8" s="12">
        <f>G10</f>
        <v>7.0767951865682716E-2</v>
      </c>
      <c r="J8" s="12"/>
      <c r="K8" s="10">
        <f>Returns!P66</f>
        <v>0.16249095759080276</v>
      </c>
      <c r="L8" s="10">
        <f>Returns!P69</f>
        <v>6.5154657449468745E-2</v>
      </c>
    </row>
    <row r="9" spans="1:12" x14ac:dyDescent="0.25">
      <c r="A9" s="23" t="str">
        <f>H2</f>
        <v>XOM</v>
      </c>
      <c r="B9" s="12">
        <f>CORREL(PZZA,XOM)</f>
        <v>-1.7484110042173647E-2</v>
      </c>
      <c r="C9" s="12">
        <f>CORREL(AAPL,XOM)</f>
        <v>0.29910586470082628</v>
      </c>
      <c r="D9" s="12">
        <f>CORREL(PRU,XOM)</f>
        <v>0.60968417747806924</v>
      </c>
      <c r="E9" s="12">
        <f>CORREL(DIS,XOM)</f>
        <v>0.59030013804815651</v>
      </c>
      <c r="F9" s="12">
        <f>CORREL(GE,XOM)</f>
        <v>0.73005063389736624</v>
      </c>
      <c r="G9" s="12">
        <f>CORREL(MRK,XOM)</f>
        <v>0.31270531261829365</v>
      </c>
      <c r="H9" s="12">
        <f>CORREL(XOM,XOM)</f>
        <v>1.0000000000000002</v>
      </c>
      <c r="I9" s="12">
        <f>H10</f>
        <v>-9.0350130510300386E-2</v>
      </c>
      <c r="J9" s="12"/>
      <c r="K9" s="10">
        <f>Returns!Q66</f>
        <v>0.15502770858724449</v>
      </c>
      <c r="L9" s="10">
        <f>Returns!Q69</f>
        <v>8.3851345447128078E-2</v>
      </c>
    </row>
    <row r="10" spans="1:12" x14ac:dyDescent="0.25">
      <c r="A10" s="23" t="str">
        <f>I2</f>
        <v>UAL</v>
      </c>
      <c r="B10" s="12">
        <f>CORREL(PZZA,UAL)</f>
        <v>0.32225241504483154</v>
      </c>
      <c r="C10" s="12">
        <f>CORREL(AAPL,UAL)</f>
        <v>-0.12722184176816062</v>
      </c>
      <c r="D10" s="12">
        <f>CORREL(PRU,UAL)</f>
        <v>1.8500899136184523E-2</v>
      </c>
      <c r="E10" s="12">
        <f>CORREL(DIS,UAL)</f>
        <v>7.1637925283115106E-2</v>
      </c>
      <c r="F10" s="12">
        <f>CORREL(GE,UAL)</f>
        <v>6.4732594060534415E-2</v>
      </c>
      <c r="G10" s="12">
        <f>CORREL(MRK,UAL)</f>
        <v>7.0767951865682716E-2</v>
      </c>
      <c r="H10" s="12">
        <f>CORREL(XOM,UAL)</f>
        <v>-9.0350130510300386E-2</v>
      </c>
      <c r="I10" s="12">
        <f>CORREL(UAL,UAL)</f>
        <v>1</v>
      </c>
      <c r="J10" s="12"/>
      <c r="K10" s="10">
        <f>Returns!R66</f>
        <v>0.33339549589204093</v>
      </c>
      <c r="L10" s="10">
        <f>Returns!R69</f>
        <v>4.8979230136672651E-2</v>
      </c>
    </row>
    <row r="11" spans="1:12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3" spans="1:12" x14ac:dyDescent="0.25">
      <c r="C13" s="34" t="s">
        <v>16</v>
      </c>
      <c r="D13" s="34"/>
      <c r="E13" s="34"/>
      <c r="F13" s="34"/>
      <c r="G13" s="34"/>
      <c r="H13" s="34"/>
    </row>
    <row r="14" spans="1:12" x14ac:dyDescent="0.25">
      <c r="B14" s="22" t="str">
        <f>B2</f>
        <v>PZZA</v>
      </c>
      <c r="C14" s="22" t="str">
        <f t="shared" ref="C14:I14" si="0">C2</f>
        <v>AAPL</v>
      </c>
      <c r="D14" s="22" t="str">
        <f t="shared" si="0"/>
        <v>PRU</v>
      </c>
      <c r="E14" s="22" t="str">
        <f t="shared" si="0"/>
        <v>DIS</v>
      </c>
      <c r="F14" s="22" t="str">
        <f t="shared" si="0"/>
        <v>GE</v>
      </c>
      <c r="G14" s="22" t="str">
        <f t="shared" si="0"/>
        <v>MRK</v>
      </c>
      <c r="H14" s="22" t="str">
        <f t="shared" si="0"/>
        <v>XOM</v>
      </c>
      <c r="I14" s="22" t="str">
        <f t="shared" si="0"/>
        <v>UAL</v>
      </c>
    </row>
    <row r="15" spans="1:12" x14ac:dyDescent="0.25">
      <c r="A15" s="23" t="str">
        <f>A3</f>
        <v>PZZA</v>
      </c>
      <c r="B15">
        <f>B3*$K$3*K3</f>
        <v>5.9768110529235051E-2</v>
      </c>
      <c r="C15">
        <f>C3*$K$4*K3</f>
        <v>-5.6486803425567984E-4</v>
      </c>
      <c r="D15">
        <f>D3*$K$5*K3</f>
        <v>-1.3033244871154073E-3</v>
      </c>
      <c r="E15">
        <f>E3*$K$6*K3</f>
        <v>1.2158062522139048E-2</v>
      </c>
      <c r="F15">
        <f>F3*$K$7*K3</f>
        <v>-3.5165083627882302E-3</v>
      </c>
      <c r="G15">
        <f>G3*$K$8*K3</f>
        <v>7.7821268510205157E-3</v>
      </c>
      <c r="H15">
        <f>H3*$K$9*K3</f>
        <v>-6.6265521842373131E-4</v>
      </c>
      <c r="I15">
        <f>I3*$K$10*K3</f>
        <v>2.626580237712868E-2</v>
      </c>
    </row>
    <row r="16" spans="1:12" x14ac:dyDescent="0.25">
      <c r="A16" s="23" t="str">
        <f t="shared" ref="A16:A22" si="1">A4</f>
        <v>AAPL</v>
      </c>
      <c r="B16">
        <f t="shared" ref="B16:B22" si="2">B4*$K$3*K4</f>
        <v>-5.6486803425567994E-4</v>
      </c>
      <c r="C16">
        <f t="shared" ref="C16:C22" si="3">C4*$K$4*K4</f>
        <v>5.9887573357119799E-2</v>
      </c>
      <c r="D16">
        <f t="shared" ref="D16:D22" si="4">D4*$K$5*K4</f>
        <v>1.2629822893673653E-2</v>
      </c>
      <c r="E16">
        <f t="shared" ref="E16:E22" si="5">E4*$K$6*K4</f>
        <v>1.6809669518491138E-2</v>
      </c>
      <c r="F16">
        <f t="shared" ref="F16:F22" si="6">F4*$K$7*K4</f>
        <v>1.5621950828837008E-2</v>
      </c>
      <c r="G16">
        <f t="shared" ref="G16:G22" si="7">G4*$K$8*K4</f>
        <v>4.808817056763507E-3</v>
      </c>
      <c r="H16">
        <f t="shared" ref="H16:H22" si="8">H4*$K$9*K4</f>
        <v>1.1347563308240185E-2</v>
      </c>
      <c r="I16">
        <f t="shared" ref="I16:I22" si="9">I4*$K$10*K4</f>
        <v>-1.0379818622850565E-2</v>
      </c>
    </row>
    <row r="17" spans="1:9" x14ac:dyDescent="0.25">
      <c r="A17" s="23" t="str">
        <f t="shared" si="1"/>
        <v>PRU</v>
      </c>
      <c r="B17">
        <f t="shared" si="2"/>
        <v>-1.3033244871154071E-3</v>
      </c>
      <c r="C17">
        <f t="shared" si="3"/>
        <v>1.2629822893673653E-2</v>
      </c>
      <c r="D17">
        <f t="shared" si="4"/>
        <v>6.6730221552202457E-2</v>
      </c>
      <c r="E17">
        <f t="shared" si="5"/>
        <v>2.6762271058614926E-2</v>
      </c>
      <c r="F17">
        <f t="shared" si="6"/>
        <v>2.4595150252795375E-2</v>
      </c>
      <c r="G17">
        <f t="shared" si="7"/>
        <v>7.6155462438773575E-3</v>
      </c>
      <c r="H17">
        <f t="shared" si="8"/>
        <v>2.4416057309776574E-2</v>
      </c>
      <c r="I17">
        <f t="shared" si="9"/>
        <v>1.59335976802596E-3</v>
      </c>
    </row>
    <row r="18" spans="1:9" x14ac:dyDescent="0.25">
      <c r="A18" s="23" t="str">
        <f t="shared" si="1"/>
        <v>DIS</v>
      </c>
      <c r="B18">
        <f t="shared" si="2"/>
        <v>1.215806252213905E-2</v>
      </c>
      <c r="C18">
        <f t="shared" si="3"/>
        <v>1.6809669518491138E-2</v>
      </c>
      <c r="D18">
        <f t="shared" si="4"/>
        <v>2.676227105861493E-2</v>
      </c>
      <c r="E18">
        <f t="shared" si="5"/>
        <v>4.2689590740933619E-2</v>
      </c>
      <c r="F18">
        <f t="shared" si="6"/>
        <v>2.5103817821634435E-2</v>
      </c>
      <c r="G18">
        <f t="shared" si="7"/>
        <v>1.016987189081428E-2</v>
      </c>
      <c r="H18">
        <f t="shared" si="8"/>
        <v>1.8907896151947903E-2</v>
      </c>
      <c r="I18">
        <f t="shared" si="9"/>
        <v>4.9347337278232706E-3</v>
      </c>
    </row>
    <row r="19" spans="1:9" x14ac:dyDescent="0.25">
      <c r="A19" s="23" t="str">
        <f t="shared" si="1"/>
        <v>GE</v>
      </c>
      <c r="B19">
        <f t="shared" si="2"/>
        <v>-3.5165083627882302E-3</v>
      </c>
      <c r="C19">
        <f t="shared" si="3"/>
        <v>1.562195082883701E-2</v>
      </c>
      <c r="D19">
        <f t="shared" si="4"/>
        <v>2.4595150252795371E-2</v>
      </c>
      <c r="E19">
        <f t="shared" si="5"/>
        <v>2.5103817821634431E-2</v>
      </c>
      <c r="F19">
        <f t="shared" si="6"/>
        <v>3.6126435104182918E-2</v>
      </c>
      <c r="G19">
        <f t="shared" si="7"/>
        <v>7.4178174010950948E-3</v>
      </c>
      <c r="H19">
        <f t="shared" si="8"/>
        <v>2.1511706528362866E-2</v>
      </c>
      <c r="I19">
        <f t="shared" si="9"/>
        <v>4.101996575567036E-3</v>
      </c>
    </row>
    <row r="20" spans="1:9" x14ac:dyDescent="0.25">
      <c r="A20" s="23" t="str">
        <f t="shared" si="1"/>
        <v>MRK</v>
      </c>
      <c r="B20">
        <f t="shared" si="2"/>
        <v>7.7821268510205165E-3</v>
      </c>
      <c r="C20">
        <f t="shared" si="3"/>
        <v>4.808817056763507E-3</v>
      </c>
      <c r="D20">
        <f t="shared" si="4"/>
        <v>7.6155462438773566E-3</v>
      </c>
      <c r="E20">
        <f t="shared" si="5"/>
        <v>1.016987189081428E-2</v>
      </c>
      <c r="F20">
        <f t="shared" si="6"/>
        <v>7.4178174010950948E-3</v>
      </c>
      <c r="G20">
        <f t="shared" si="7"/>
        <v>2.6403311298776055E-2</v>
      </c>
      <c r="H20">
        <f t="shared" si="8"/>
        <v>7.87723470491394E-3</v>
      </c>
      <c r="I20">
        <f t="shared" si="9"/>
        <v>3.8337655718593258E-3</v>
      </c>
    </row>
    <row r="21" spans="1:9" x14ac:dyDescent="0.25">
      <c r="A21" s="23" t="str">
        <f t="shared" si="1"/>
        <v>XOM</v>
      </c>
      <c r="B21">
        <f t="shared" si="2"/>
        <v>-6.6265521842373142E-4</v>
      </c>
      <c r="C21">
        <f t="shared" si="3"/>
        <v>1.1347563308240185E-2</v>
      </c>
      <c r="D21">
        <f t="shared" si="4"/>
        <v>2.4416057309776574E-2</v>
      </c>
      <c r="E21">
        <f t="shared" si="5"/>
        <v>1.8907896151947899E-2</v>
      </c>
      <c r="F21">
        <f t="shared" si="6"/>
        <v>2.1511706528362866E-2</v>
      </c>
      <c r="G21">
        <f t="shared" si="7"/>
        <v>7.87723470491394E-3</v>
      </c>
      <c r="H21">
        <f t="shared" si="8"/>
        <v>2.4033590429811603E-2</v>
      </c>
      <c r="I21">
        <f t="shared" si="9"/>
        <v>-4.6697952647494377E-3</v>
      </c>
    </row>
    <row r="22" spans="1:9" x14ac:dyDescent="0.25">
      <c r="A22" s="23" t="str">
        <f t="shared" si="1"/>
        <v>UAL</v>
      </c>
      <c r="B22">
        <f t="shared" si="2"/>
        <v>2.626580237712868E-2</v>
      </c>
      <c r="C22">
        <f t="shared" si="3"/>
        <v>-1.0379818622850565E-2</v>
      </c>
      <c r="D22">
        <f t="shared" si="4"/>
        <v>1.59335976802596E-3</v>
      </c>
      <c r="E22">
        <f t="shared" si="5"/>
        <v>4.9347337278232706E-3</v>
      </c>
      <c r="F22">
        <f t="shared" si="6"/>
        <v>4.101996575567036E-3</v>
      </c>
      <c r="G22">
        <f t="shared" si="7"/>
        <v>3.8337655718593258E-3</v>
      </c>
      <c r="H22">
        <f t="shared" si="8"/>
        <v>-4.6697952647494368E-3</v>
      </c>
      <c r="I22">
        <f t="shared" si="9"/>
        <v>0.11115255668109988</v>
      </c>
    </row>
  </sheetData>
  <mergeCells count="2">
    <mergeCell ref="C13:H13"/>
    <mergeCell ref="C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19" sqref="G19"/>
    </sheetView>
  </sheetViews>
  <sheetFormatPr defaultRowHeight="15" x14ac:dyDescent="0.25"/>
  <cols>
    <col min="1" max="1" width="9.7109375" customWidth="1"/>
    <col min="3" max="3" width="9.140625" customWidth="1"/>
    <col min="4" max="4" width="9.28515625" bestFit="1" customWidth="1"/>
    <col min="5" max="5" width="9.5703125" customWidth="1"/>
    <col min="6" max="6" width="10.28515625" customWidth="1"/>
    <col min="7" max="7" width="10.42578125" customWidth="1"/>
    <col min="8" max="8" width="10.140625" customWidth="1"/>
    <col min="9" max="9" width="9.5703125" customWidth="1"/>
    <col min="10" max="10" width="9.28515625" bestFit="1" customWidth="1"/>
    <col min="12" max="12" width="14.85546875" customWidth="1"/>
    <col min="13" max="13" width="11.85546875" customWidth="1"/>
  </cols>
  <sheetData>
    <row r="1" spans="1:13" x14ac:dyDescent="0.25">
      <c r="D1" s="34" t="s">
        <v>16</v>
      </c>
      <c r="E1" s="34"/>
      <c r="F1" s="34"/>
      <c r="G1" s="34"/>
      <c r="H1" s="34"/>
      <c r="I1" s="34"/>
    </row>
    <row r="2" spans="1:13" x14ac:dyDescent="0.25">
      <c r="C2" s="4" t="str">
        <f>'Correlation Matrix'!B14</f>
        <v>PZZA</v>
      </c>
      <c r="D2" s="4" t="str">
        <f>'Correlation Matrix'!C14</f>
        <v>AAPL</v>
      </c>
      <c r="E2" s="4" t="str">
        <f>'Correlation Matrix'!D14</f>
        <v>PRU</v>
      </c>
      <c r="F2" s="4" t="str">
        <f>'Correlation Matrix'!E14</f>
        <v>DIS</v>
      </c>
      <c r="G2" s="4" t="str">
        <f>'Correlation Matrix'!F14</f>
        <v>GE</v>
      </c>
      <c r="H2" s="4" t="str">
        <f>'Correlation Matrix'!G14</f>
        <v>MRK</v>
      </c>
      <c r="I2" s="4" t="str">
        <f>'Correlation Matrix'!H14</f>
        <v>XOM</v>
      </c>
      <c r="J2" s="4" t="str">
        <f>'Correlation Matrix'!I14</f>
        <v>UAL</v>
      </c>
    </row>
    <row r="3" spans="1:13" x14ac:dyDescent="0.25">
      <c r="B3" s="1" t="str">
        <f>'Correlation Matrix'!A15</f>
        <v>PZZA</v>
      </c>
      <c r="C3" s="15">
        <f>'Correlation Matrix'!B15</f>
        <v>5.9768110529235051E-2</v>
      </c>
      <c r="D3" s="15">
        <f>'Correlation Matrix'!C15</f>
        <v>-5.6486803425567984E-4</v>
      </c>
      <c r="E3" s="15">
        <f>'Correlation Matrix'!D15</f>
        <v>-1.3033244871154073E-3</v>
      </c>
      <c r="F3" s="15">
        <f>'Correlation Matrix'!E15</f>
        <v>1.2158062522139048E-2</v>
      </c>
      <c r="G3" s="15">
        <f>'Correlation Matrix'!F15</f>
        <v>-3.5165083627882302E-3</v>
      </c>
      <c r="H3" s="15">
        <f>'Correlation Matrix'!G15</f>
        <v>7.7821268510205157E-3</v>
      </c>
      <c r="I3" s="15">
        <f>'Correlation Matrix'!H15</f>
        <v>-6.6265521842373131E-4</v>
      </c>
      <c r="J3" s="15">
        <f>'Correlation Matrix'!I15</f>
        <v>2.626580237712868E-2</v>
      </c>
    </row>
    <row r="4" spans="1:13" x14ac:dyDescent="0.25">
      <c r="B4" s="1" t="str">
        <f>'Correlation Matrix'!A16</f>
        <v>AAPL</v>
      </c>
      <c r="C4" s="15">
        <f>'Correlation Matrix'!B16</f>
        <v>-5.6486803425567994E-4</v>
      </c>
      <c r="D4" s="15">
        <f>'Correlation Matrix'!C16</f>
        <v>5.9887573357119799E-2</v>
      </c>
      <c r="E4" s="15">
        <f>'Correlation Matrix'!D16</f>
        <v>1.2629822893673653E-2</v>
      </c>
      <c r="F4" s="15">
        <f>'Correlation Matrix'!E16</f>
        <v>1.6809669518491138E-2</v>
      </c>
      <c r="G4" s="15">
        <f>'Correlation Matrix'!F16</f>
        <v>1.5621950828837008E-2</v>
      </c>
      <c r="H4" s="15">
        <f>'Correlation Matrix'!G16</f>
        <v>4.808817056763507E-3</v>
      </c>
      <c r="I4" s="15">
        <f>'Correlation Matrix'!H16</f>
        <v>1.1347563308240185E-2</v>
      </c>
      <c r="J4" s="15">
        <f>'Correlation Matrix'!I16</f>
        <v>-1.0379818622850565E-2</v>
      </c>
    </row>
    <row r="5" spans="1:13" x14ac:dyDescent="0.25">
      <c r="B5" s="1" t="str">
        <f>'Correlation Matrix'!A17</f>
        <v>PRU</v>
      </c>
      <c r="C5" s="15">
        <f>'Correlation Matrix'!B17</f>
        <v>-1.3033244871154071E-3</v>
      </c>
      <c r="D5" s="15">
        <f>'Correlation Matrix'!C17</f>
        <v>1.2629822893673653E-2</v>
      </c>
      <c r="E5" s="15">
        <f>'Correlation Matrix'!D17</f>
        <v>6.6730221552202457E-2</v>
      </c>
      <c r="F5" s="15">
        <f>'Correlation Matrix'!E17</f>
        <v>2.6762271058614926E-2</v>
      </c>
      <c r="G5" s="15">
        <f>'Correlation Matrix'!F17</f>
        <v>2.4595150252795375E-2</v>
      </c>
      <c r="H5" s="15">
        <f>'Correlation Matrix'!G17</f>
        <v>7.6155462438773575E-3</v>
      </c>
      <c r="I5" s="15">
        <f>'Correlation Matrix'!H17</f>
        <v>2.4416057309776574E-2</v>
      </c>
      <c r="J5" s="15">
        <f>'Correlation Matrix'!I17</f>
        <v>1.59335976802596E-3</v>
      </c>
    </row>
    <row r="6" spans="1:13" x14ac:dyDescent="0.25">
      <c r="B6" s="1" t="str">
        <f>'Correlation Matrix'!A18</f>
        <v>DIS</v>
      </c>
      <c r="C6" s="15">
        <f>'Correlation Matrix'!B18</f>
        <v>1.215806252213905E-2</v>
      </c>
      <c r="D6" s="15">
        <f>'Correlation Matrix'!C18</f>
        <v>1.6809669518491138E-2</v>
      </c>
      <c r="E6" s="15">
        <f>'Correlation Matrix'!D18</f>
        <v>2.676227105861493E-2</v>
      </c>
      <c r="F6" s="15">
        <f>'Correlation Matrix'!E18</f>
        <v>4.2689590740933619E-2</v>
      </c>
      <c r="G6" s="15">
        <f>'Correlation Matrix'!F18</f>
        <v>2.5103817821634435E-2</v>
      </c>
      <c r="H6" s="15">
        <f>'Correlation Matrix'!G18</f>
        <v>1.016987189081428E-2</v>
      </c>
      <c r="I6" s="15">
        <f>'Correlation Matrix'!H18</f>
        <v>1.8907896151947903E-2</v>
      </c>
      <c r="J6" s="15">
        <f>'Correlation Matrix'!I18</f>
        <v>4.9347337278232706E-3</v>
      </c>
    </row>
    <row r="7" spans="1:13" x14ac:dyDescent="0.25">
      <c r="B7" s="1" t="str">
        <f>'Correlation Matrix'!A19</f>
        <v>GE</v>
      </c>
      <c r="C7" s="15">
        <f>'Correlation Matrix'!B19</f>
        <v>-3.5165083627882302E-3</v>
      </c>
      <c r="D7" s="15">
        <f>'Correlation Matrix'!C19</f>
        <v>1.562195082883701E-2</v>
      </c>
      <c r="E7" s="15">
        <f>'Correlation Matrix'!D19</f>
        <v>2.4595150252795371E-2</v>
      </c>
      <c r="F7" s="15">
        <f>'Correlation Matrix'!E19</f>
        <v>2.5103817821634431E-2</v>
      </c>
      <c r="G7" s="15">
        <f>'Correlation Matrix'!F19</f>
        <v>3.6126435104182918E-2</v>
      </c>
      <c r="H7" s="15">
        <f>'Correlation Matrix'!G19</f>
        <v>7.4178174010950948E-3</v>
      </c>
      <c r="I7" s="15">
        <f>'Correlation Matrix'!H19</f>
        <v>2.1511706528362866E-2</v>
      </c>
      <c r="J7" s="15">
        <f>'Correlation Matrix'!I19</f>
        <v>4.101996575567036E-3</v>
      </c>
    </row>
    <row r="8" spans="1:13" x14ac:dyDescent="0.25">
      <c r="B8" s="1" t="str">
        <f>'Correlation Matrix'!A20</f>
        <v>MRK</v>
      </c>
      <c r="C8" s="15">
        <f>'Correlation Matrix'!B20</f>
        <v>7.7821268510205165E-3</v>
      </c>
      <c r="D8" s="15">
        <f>'Correlation Matrix'!C20</f>
        <v>4.808817056763507E-3</v>
      </c>
      <c r="E8" s="15">
        <f>'Correlation Matrix'!D20</f>
        <v>7.6155462438773566E-3</v>
      </c>
      <c r="F8" s="15">
        <f>'Correlation Matrix'!E20</f>
        <v>1.016987189081428E-2</v>
      </c>
      <c r="G8" s="15">
        <f>'Correlation Matrix'!F20</f>
        <v>7.4178174010950948E-3</v>
      </c>
      <c r="H8" s="15">
        <f>'Correlation Matrix'!G20</f>
        <v>2.6403311298776055E-2</v>
      </c>
      <c r="I8" s="15">
        <f>'Correlation Matrix'!H20</f>
        <v>7.87723470491394E-3</v>
      </c>
      <c r="J8" s="15">
        <f>'Correlation Matrix'!I20</f>
        <v>3.8337655718593258E-3</v>
      </c>
    </row>
    <row r="9" spans="1:13" x14ac:dyDescent="0.25">
      <c r="B9" s="1" t="str">
        <f>'Correlation Matrix'!A21</f>
        <v>XOM</v>
      </c>
      <c r="C9" s="15">
        <f>'Correlation Matrix'!B21</f>
        <v>-6.6265521842373142E-4</v>
      </c>
      <c r="D9" s="15">
        <f>'Correlation Matrix'!C21</f>
        <v>1.1347563308240185E-2</v>
      </c>
      <c r="E9" s="15">
        <f>'Correlation Matrix'!D21</f>
        <v>2.4416057309776574E-2</v>
      </c>
      <c r="F9" s="15">
        <f>'Correlation Matrix'!E21</f>
        <v>1.8907896151947899E-2</v>
      </c>
      <c r="G9" s="15">
        <f>'Correlation Matrix'!F21</f>
        <v>2.1511706528362866E-2</v>
      </c>
      <c r="H9" s="15">
        <f>'Correlation Matrix'!G21</f>
        <v>7.87723470491394E-3</v>
      </c>
      <c r="I9" s="15">
        <f>'Correlation Matrix'!H21</f>
        <v>2.4033590429811603E-2</v>
      </c>
      <c r="J9" s="15">
        <f>'Correlation Matrix'!I21</f>
        <v>-4.6697952647494377E-3</v>
      </c>
    </row>
    <row r="10" spans="1:13" x14ac:dyDescent="0.25">
      <c r="B10" s="1" t="str">
        <f>'Correlation Matrix'!A22</f>
        <v>UAL</v>
      </c>
      <c r="C10" s="15">
        <f>'Correlation Matrix'!B22</f>
        <v>2.626580237712868E-2</v>
      </c>
      <c r="D10" s="15">
        <f>'Correlation Matrix'!C22</f>
        <v>-1.0379818622850565E-2</v>
      </c>
      <c r="E10" s="15">
        <f>'Correlation Matrix'!D22</f>
        <v>1.59335976802596E-3</v>
      </c>
      <c r="F10" s="15">
        <f>'Correlation Matrix'!E22</f>
        <v>4.9347337278232706E-3</v>
      </c>
      <c r="G10" s="15">
        <f>'Correlation Matrix'!F22</f>
        <v>4.101996575567036E-3</v>
      </c>
      <c r="H10" s="15">
        <f>'Correlation Matrix'!G22</f>
        <v>3.8337655718593258E-3</v>
      </c>
      <c r="I10" s="15">
        <f>'Correlation Matrix'!H22</f>
        <v>-4.6697952647494368E-3</v>
      </c>
      <c r="J10" s="15">
        <f>'Correlation Matrix'!I22</f>
        <v>0.11115255668109988</v>
      </c>
      <c r="L10" s="1" t="s">
        <v>41</v>
      </c>
    </row>
    <row r="11" spans="1:13" x14ac:dyDescent="0.25">
      <c r="C11" s="15"/>
      <c r="D11" s="15"/>
      <c r="E11" s="15"/>
      <c r="F11" s="15"/>
      <c r="G11" s="15"/>
      <c r="H11" s="15"/>
      <c r="I11" s="15"/>
      <c r="J11" s="15"/>
      <c r="L11" t="s">
        <v>13</v>
      </c>
      <c r="M11" s="10">
        <f>Returns!U1</f>
        <v>0.03</v>
      </c>
    </row>
    <row r="12" spans="1:13" x14ac:dyDescent="0.25">
      <c r="D12" s="34" t="s">
        <v>19</v>
      </c>
      <c r="E12" s="34"/>
      <c r="F12" s="34"/>
      <c r="G12" s="34"/>
      <c r="H12" s="34"/>
      <c r="I12" s="34"/>
      <c r="L12" t="s">
        <v>36</v>
      </c>
      <c r="M12" s="6">
        <f>B27</f>
        <v>9.8884684656477428E-2</v>
      </c>
    </row>
    <row r="13" spans="1:13" x14ac:dyDescent="0.25">
      <c r="C13" s="4" t="str">
        <f>C2</f>
        <v>PZZA</v>
      </c>
      <c r="D13" s="4" t="str">
        <f t="shared" ref="D13:J13" si="0">D2</f>
        <v>AAPL</v>
      </c>
      <c r="E13" s="4" t="str">
        <f t="shared" si="0"/>
        <v>PRU</v>
      </c>
      <c r="F13" s="4" t="str">
        <f t="shared" si="0"/>
        <v>DIS</v>
      </c>
      <c r="G13" s="4" t="str">
        <f t="shared" si="0"/>
        <v>GE</v>
      </c>
      <c r="H13" s="4" t="str">
        <f t="shared" si="0"/>
        <v>MRK</v>
      </c>
      <c r="I13" s="4" t="str">
        <f t="shared" si="0"/>
        <v>XOM</v>
      </c>
      <c r="J13" s="4" t="str">
        <f t="shared" si="0"/>
        <v>UAL</v>
      </c>
      <c r="L13" t="s">
        <v>37</v>
      </c>
      <c r="M13" s="6">
        <f>B26</f>
        <v>0.14875110783121642</v>
      </c>
    </row>
    <row r="14" spans="1:13" x14ac:dyDescent="0.25">
      <c r="B14" s="1" t="s">
        <v>18</v>
      </c>
      <c r="C14" s="18">
        <f>B15</f>
        <v>-7.8513028253962246E-3</v>
      </c>
      <c r="D14" s="18">
        <f>B16</f>
        <v>9.4074688972854245E-2</v>
      </c>
      <c r="E14" s="18">
        <f>B17</f>
        <v>0.24798939177348051</v>
      </c>
      <c r="F14" s="18">
        <f>B18</f>
        <v>0.27108556803895612</v>
      </c>
      <c r="G14" s="18">
        <f>B19</f>
        <v>0.14892802697120158</v>
      </c>
      <c r="H14" s="18">
        <f>B20</f>
        <v>0.18209589153548714</v>
      </c>
      <c r="I14" s="18">
        <f>B21</f>
        <v>2.4526273590911536E-2</v>
      </c>
      <c r="J14" s="18">
        <f>B22</f>
        <v>3.9151461942505301E-2</v>
      </c>
      <c r="L14" t="s">
        <v>38</v>
      </c>
      <c r="M14">
        <f>(M12-M11)/M13</f>
        <v>0.46308686813034622</v>
      </c>
    </row>
    <row r="15" spans="1:13" x14ac:dyDescent="0.25">
      <c r="A15" s="1" t="str">
        <f>B3</f>
        <v>PZZA</v>
      </c>
      <c r="B15" s="14">
        <v>-7.8513028253962246E-3</v>
      </c>
      <c r="C15" s="15">
        <f>C3*$B$15*C14</f>
        <v>3.6842830109082544E-6</v>
      </c>
      <c r="D15" s="15">
        <f t="shared" ref="D15:D22" si="1">D3*B15*$D$14</f>
        <v>4.1721654123245885E-7</v>
      </c>
      <c r="E15" s="15">
        <f t="shared" ref="E15:E22" si="2">E3*B15*$E$14</f>
        <v>2.5376246647584191E-6</v>
      </c>
      <c r="F15" s="15">
        <f t="shared" ref="F15:F22" si="3">F3*B15*$F$14</f>
        <v>-2.5876914937801751E-5</v>
      </c>
      <c r="G15" s="15">
        <f t="shared" ref="G15:G22" si="4">G3*B15*$G$14</f>
        <v>4.1117795188643698E-6</v>
      </c>
      <c r="H15" s="15">
        <f t="shared" ref="H15:H22" si="5">H3*B15*$H$14</f>
        <v>-1.1126028841959055E-5</v>
      </c>
      <c r="I15" s="15">
        <f t="shared" ref="I15:I22" si="6">I3*B15*$I$14</f>
        <v>1.2760301011230624E-7</v>
      </c>
      <c r="J15" s="15">
        <f t="shared" ref="J15:J22" si="7">J3*B15*$J$14</f>
        <v>-8.073844566348171E-6</v>
      </c>
      <c r="L15" t="s">
        <v>28</v>
      </c>
      <c r="M15">
        <v>6</v>
      </c>
    </row>
    <row r="16" spans="1:13" x14ac:dyDescent="0.25">
      <c r="A16" s="1" t="str">
        <f t="shared" ref="A16:A22" si="8">B4</f>
        <v>AAPL</v>
      </c>
      <c r="B16" s="14">
        <v>9.4074688972854245E-2</v>
      </c>
      <c r="C16" s="15">
        <f t="shared" ref="C16:C22" si="9">C4*B16*$C$14</f>
        <v>4.1721654123245895E-7</v>
      </c>
      <c r="D16" s="15">
        <f t="shared" si="1"/>
        <v>5.3000784523497086E-4</v>
      </c>
      <c r="E16" s="15">
        <f t="shared" si="2"/>
        <v>2.9464776767622352E-4</v>
      </c>
      <c r="F16" s="15">
        <f t="shared" si="3"/>
        <v>4.286850752408841E-4</v>
      </c>
      <c r="G16" s="15">
        <f t="shared" si="4"/>
        <v>2.1886912090622222E-4</v>
      </c>
      <c r="H16" s="15">
        <f t="shared" si="5"/>
        <v>8.2377990524491558E-5</v>
      </c>
      <c r="I16" s="15">
        <f t="shared" si="6"/>
        <v>2.6182250520216298E-5</v>
      </c>
      <c r="J16" s="15">
        <f t="shared" si="7"/>
        <v>-3.8230549419312439E-5</v>
      </c>
      <c r="L16" t="s">
        <v>32</v>
      </c>
      <c r="M16" s="6">
        <v>0.5188609739697958</v>
      </c>
    </row>
    <row r="17" spans="1:14" x14ac:dyDescent="0.25">
      <c r="A17" s="1" t="str">
        <f t="shared" si="8"/>
        <v>PRU</v>
      </c>
      <c r="B17" s="14">
        <v>0.24798939177348051</v>
      </c>
      <c r="C17" s="15">
        <f t="shared" si="9"/>
        <v>2.5376246647584182E-6</v>
      </c>
      <c r="D17" s="15">
        <f t="shared" si="1"/>
        <v>2.9464776767622357E-4</v>
      </c>
      <c r="E17" s="15">
        <f t="shared" si="2"/>
        <v>4.1038244407603734E-3</v>
      </c>
      <c r="F17" s="15">
        <f t="shared" si="3"/>
        <v>1.7991296708243288E-3</v>
      </c>
      <c r="G17" s="15">
        <f t="shared" si="4"/>
        <v>9.0836212870254831E-4</v>
      </c>
      <c r="H17" s="15">
        <f t="shared" si="5"/>
        <v>3.4390169027568392E-4</v>
      </c>
      <c r="I17" s="15">
        <f t="shared" si="6"/>
        <v>1.4850470301827317E-4</v>
      </c>
      <c r="J17" s="15">
        <f t="shared" si="7"/>
        <v>1.5470164584758175E-5</v>
      </c>
      <c r="L17" t="s">
        <v>33</v>
      </c>
      <c r="M17" s="6">
        <f>M16*M12+(1-M16)*M11</f>
        <v>6.574157457246213E-2</v>
      </c>
    </row>
    <row r="18" spans="1:14" x14ac:dyDescent="0.25">
      <c r="A18" s="1" t="str">
        <f t="shared" si="8"/>
        <v>DIS</v>
      </c>
      <c r="B18" s="14">
        <v>0.27108556803895612</v>
      </c>
      <c r="C18" s="15">
        <f t="shared" si="9"/>
        <v>-2.5876914937801755E-5</v>
      </c>
      <c r="D18" s="15">
        <f t="shared" si="1"/>
        <v>4.286850752408841E-4</v>
      </c>
      <c r="E18" s="15">
        <f t="shared" si="2"/>
        <v>1.7991296708243288E-3</v>
      </c>
      <c r="F18" s="15">
        <f t="shared" si="3"/>
        <v>3.1371463987668021E-3</v>
      </c>
      <c r="G18" s="15">
        <f t="shared" si="4"/>
        <v>1.0134973275957469E-3</v>
      </c>
      <c r="H18" s="15">
        <f t="shared" si="5"/>
        <v>5.0202116461110888E-4</v>
      </c>
      <c r="I18" s="15">
        <f t="shared" si="6"/>
        <v>1.2571328477029283E-4</v>
      </c>
      <c r="J18" s="15">
        <f t="shared" si="7"/>
        <v>5.2374284689547182E-5</v>
      </c>
      <c r="L18" t="s">
        <v>34</v>
      </c>
      <c r="M18" s="6">
        <f>M16*M13</f>
        <v>7.7181144688391073E-2</v>
      </c>
    </row>
    <row r="19" spans="1:14" x14ac:dyDescent="0.25">
      <c r="A19" s="1" t="str">
        <f t="shared" si="8"/>
        <v>GE</v>
      </c>
      <c r="B19" s="14">
        <v>0.14892802697120158</v>
      </c>
      <c r="C19" s="15">
        <f t="shared" si="9"/>
        <v>4.1117795188643706E-6</v>
      </c>
      <c r="D19" s="15">
        <f t="shared" si="1"/>
        <v>2.1886912090622222E-4</v>
      </c>
      <c r="E19" s="15">
        <f t="shared" si="2"/>
        <v>9.0836212870254831E-4</v>
      </c>
      <c r="F19" s="15">
        <f t="shared" si="3"/>
        <v>1.0134973275957467E-3</v>
      </c>
      <c r="G19" s="15">
        <f t="shared" si="4"/>
        <v>8.0126833445878798E-4</v>
      </c>
      <c r="H19" s="15">
        <f t="shared" si="5"/>
        <v>2.0116513900029096E-4</v>
      </c>
      <c r="I19" s="15">
        <f t="shared" si="6"/>
        <v>7.8574724844661693E-5</v>
      </c>
      <c r="J19" s="15">
        <f t="shared" si="7"/>
        <v>2.3917716451502981E-5</v>
      </c>
      <c r="L19" t="s">
        <v>26</v>
      </c>
      <c r="M19" s="10">
        <f>M17-0.5*M15*M18^2</f>
        <v>4.7870787286231058E-2</v>
      </c>
    </row>
    <row r="20" spans="1:14" x14ac:dyDescent="0.25">
      <c r="A20" s="1" t="str">
        <f t="shared" si="8"/>
        <v>MRK</v>
      </c>
      <c r="B20" s="14">
        <v>0.18209589153548714</v>
      </c>
      <c r="C20" s="15">
        <f t="shared" si="9"/>
        <v>-1.1126028841959055E-5</v>
      </c>
      <c r="D20" s="15">
        <f t="shared" si="1"/>
        <v>8.2377990524491545E-5</v>
      </c>
      <c r="E20" s="15">
        <f t="shared" si="2"/>
        <v>3.4390169027568392E-4</v>
      </c>
      <c r="F20" s="15">
        <f t="shared" si="3"/>
        <v>5.0202116461110888E-4</v>
      </c>
      <c r="G20" s="15">
        <f t="shared" si="4"/>
        <v>2.0116513900029096E-4</v>
      </c>
      <c r="H20" s="15">
        <f t="shared" si="5"/>
        <v>8.7550512112273961E-4</v>
      </c>
      <c r="I20" s="15">
        <f t="shared" si="6"/>
        <v>3.5180783028521375E-5</v>
      </c>
      <c r="J20" s="15">
        <f t="shared" si="7"/>
        <v>2.7332142975056668E-5</v>
      </c>
      <c r="L20" s="34" t="s">
        <v>40</v>
      </c>
      <c r="M20" s="34"/>
      <c r="N20" s="34"/>
    </row>
    <row r="21" spans="1:14" x14ac:dyDescent="0.25">
      <c r="A21" s="1" t="str">
        <f t="shared" si="8"/>
        <v>XOM</v>
      </c>
      <c r="B21" s="14">
        <v>2.4526273590911536E-2</v>
      </c>
      <c r="C21" s="15">
        <f t="shared" si="9"/>
        <v>1.2760301011230626E-7</v>
      </c>
      <c r="D21" s="15">
        <f t="shared" si="1"/>
        <v>2.6182250520216294E-5</v>
      </c>
      <c r="E21" s="15">
        <f t="shared" si="2"/>
        <v>1.4850470301827317E-4</v>
      </c>
      <c r="F21" s="15">
        <f t="shared" si="3"/>
        <v>1.2571328477029278E-4</v>
      </c>
      <c r="G21" s="15">
        <f t="shared" si="4"/>
        <v>7.8574724844661706E-5</v>
      </c>
      <c r="H21" s="15">
        <f t="shared" si="5"/>
        <v>3.5180783028521375E-5</v>
      </c>
      <c r="I21" s="15">
        <f t="shared" si="6"/>
        <v>1.4457120233351172E-5</v>
      </c>
      <c r="J21" s="15">
        <f t="shared" si="7"/>
        <v>-4.4841217164239404E-6</v>
      </c>
      <c r="M21" s="3" t="s">
        <v>29</v>
      </c>
      <c r="N21" s="3" t="s">
        <v>30</v>
      </c>
    </row>
    <row r="22" spans="1:14" ht="15.75" thickBot="1" x14ac:dyDescent="0.3">
      <c r="A22" s="1" t="str">
        <f t="shared" si="8"/>
        <v>UAL</v>
      </c>
      <c r="B22" s="17">
        <v>3.9151461942505301E-2</v>
      </c>
      <c r="C22" s="15">
        <f t="shared" si="9"/>
        <v>-8.073844566348171E-6</v>
      </c>
      <c r="D22" s="15">
        <f t="shared" si="1"/>
        <v>-3.8230549419312446E-5</v>
      </c>
      <c r="E22" s="15">
        <f t="shared" si="2"/>
        <v>1.5470164584758175E-5</v>
      </c>
      <c r="F22" s="15">
        <f t="shared" si="3"/>
        <v>5.2374284689547182E-5</v>
      </c>
      <c r="G22" s="15">
        <f t="shared" si="4"/>
        <v>2.3917716451502981E-5</v>
      </c>
      <c r="H22" s="15">
        <f t="shared" si="5"/>
        <v>2.7332142975056662E-5</v>
      </c>
      <c r="I22" s="15">
        <f t="shared" si="6"/>
        <v>-4.4841217164239395E-6</v>
      </c>
      <c r="J22" s="15">
        <f t="shared" si="7"/>
        <v>1.7037874843928537E-4</v>
      </c>
      <c r="L22" t="s">
        <v>27</v>
      </c>
      <c r="M22" s="19">
        <v>0</v>
      </c>
      <c r="N22" s="10">
        <f>M11</f>
        <v>0.03</v>
      </c>
    </row>
    <row r="23" spans="1:14" x14ac:dyDescent="0.25">
      <c r="A23" s="24" t="s">
        <v>23</v>
      </c>
      <c r="B23" s="16">
        <f>SUM(B15:B22)</f>
        <v>1.0000000000000002</v>
      </c>
      <c r="C23" s="15"/>
      <c r="D23" s="15"/>
      <c r="E23" s="15"/>
      <c r="F23" s="15"/>
      <c r="G23" s="15"/>
      <c r="H23" s="15"/>
      <c r="I23" s="15"/>
      <c r="J23" s="15"/>
      <c r="L23" t="s">
        <v>35</v>
      </c>
      <c r="M23" s="10">
        <f>B26</f>
        <v>0.14875110783121642</v>
      </c>
      <c r="N23" s="11">
        <f>B27</f>
        <v>9.8884684656477428E-2</v>
      </c>
    </row>
    <row r="24" spans="1:14" x14ac:dyDescent="0.25">
      <c r="L24" t="s">
        <v>39</v>
      </c>
      <c r="M24" s="10">
        <f>2.5*M23</f>
        <v>0.37187776957804108</v>
      </c>
      <c r="N24" s="11">
        <f>2.5*(N23-M11)+M11</f>
        <v>0.20221171164119359</v>
      </c>
    </row>
    <row r="25" spans="1:14" x14ac:dyDescent="0.25">
      <c r="A25" t="s">
        <v>20</v>
      </c>
      <c r="B25" s="15">
        <f>SUM(C15:J22)</f>
        <v>2.2126892081014173E-2</v>
      </c>
    </row>
    <row r="26" spans="1:14" x14ac:dyDescent="0.25">
      <c r="A26" t="s">
        <v>21</v>
      </c>
      <c r="B26" s="25">
        <f>SQRT(B25)</f>
        <v>0.14875110783121642</v>
      </c>
    </row>
    <row r="27" spans="1:14" x14ac:dyDescent="0.25">
      <c r="A27" t="s">
        <v>22</v>
      </c>
      <c r="B27" s="26">
        <f>SUMPRODUCT('Correlation Matrix'!L3:L10,B15:B22)</f>
        <v>9.8884684656477428E-2</v>
      </c>
    </row>
  </sheetData>
  <mergeCells count="3">
    <mergeCell ref="D1:I1"/>
    <mergeCell ref="D12:I12"/>
    <mergeCell ref="L20:N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N14" sqref="N14"/>
    </sheetView>
  </sheetViews>
  <sheetFormatPr defaultRowHeight="15" x14ac:dyDescent="0.25"/>
  <cols>
    <col min="1" max="1" width="12.28515625" customWidth="1"/>
    <col min="2" max="2" width="10.5703125" customWidth="1"/>
    <col min="12" max="12" width="11.42578125" customWidth="1"/>
  </cols>
  <sheetData>
    <row r="1" spans="1:10" ht="15.75" x14ac:dyDescent="0.25">
      <c r="D1" s="33" t="s">
        <v>31</v>
      </c>
      <c r="E1" s="33"/>
      <c r="F1" s="33"/>
      <c r="G1" s="33"/>
      <c r="H1" s="33"/>
      <c r="I1" s="33"/>
    </row>
    <row r="2" spans="1:10" x14ac:dyDescent="0.25">
      <c r="A2" s="1" t="s">
        <v>24</v>
      </c>
      <c r="B2" s="1" t="s">
        <v>25</v>
      </c>
      <c r="C2" s="22" t="str">
        <f>'Covar Matrix'!C13</f>
        <v>PZZA</v>
      </c>
      <c r="D2" s="22" t="str">
        <f>'Covar Matrix'!D13</f>
        <v>AAPL</v>
      </c>
      <c r="E2" s="22" t="str">
        <f>'Covar Matrix'!E13</f>
        <v>PRU</v>
      </c>
      <c r="F2" s="22" t="str">
        <f>'Covar Matrix'!F13</f>
        <v>DIS</v>
      </c>
      <c r="G2" s="22" t="str">
        <f>'Covar Matrix'!G13</f>
        <v>GE</v>
      </c>
      <c r="H2" s="22" t="str">
        <f>'Covar Matrix'!H13</f>
        <v>MRK</v>
      </c>
      <c r="I2" s="22" t="str">
        <f>'Covar Matrix'!I13</f>
        <v>XOM</v>
      </c>
      <c r="J2" s="22" t="str">
        <f>'Covar Matrix'!J13</f>
        <v>UAL</v>
      </c>
    </row>
    <row r="3" spans="1:10" x14ac:dyDescent="0.25">
      <c r="A3" s="20">
        <v>0.02</v>
      </c>
      <c r="B3" s="21">
        <v>0.18481268635684531</v>
      </c>
      <c r="C3" s="31">
        <v>0.38519455569746569</v>
      </c>
      <c r="D3" s="28">
        <v>0.19097663757493238</v>
      </c>
      <c r="E3" s="28">
        <v>-0.37347542735388645</v>
      </c>
      <c r="F3" s="28">
        <v>-0.64270377465337369</v>
      </c>
      <c r="G3" s="28">
        <v>-8.7888738737920344E-2</v>
      </c>
      <c r="H3" s="28">
        <v>0.40743711018729883</v>
      </c>
      <c r="I3" s="28">
        <v>0.94699859556137733</v>
      </c>
      <c r="J3" s="28">
        <v>0.17346104172410645</v>
      </c>
    </row>
    <row r="4" spans="1:10" x14ac:dyDescent="0.25">
      <c r="A4" s="20">
        <v>0.03</v>
      </c>
      <c r="B4" s="30">
        <v>0.16027931265805456</v>
      </c>
      <c r="C4" s="32">
        <v>0.33536929380451946</v>
      </c>
      <c r="D4" s="29">
        <v>0.17869398797829927</v>
      </c>
      <c r="E4" s="29">
        <v>-0.29469538433738784</v>
      </c>
      <c r="F4" s="29">
        <v>-0.52686368841610232</v>
      </c>
      <c r="G4" s="29">
        <v>-5.7868128841865901E-2</v>
      </c>
      <c r="H4" s="29">
        <v>0.3788699026841813</v>
      </c>
      <c r="I4" s="29">
        <v>0.83005900759213269</v>
      </c>
      <c r="J4" s="29">
        <v>0.15643500953622339</v>
      </c>
    </row>
    <row r="5" spans="1:10" x14ac:dyDescent="0.25">
      <c r="A5" s="20">
        <v>0.04</v>
      </c>
      <c r="B5" s="21">
        <v>0.13870311641229977</v>
      </c>
      <c r="C5">
        <v>0.28554384370217184</v>
      </c>
      <c r="D5">
        <v>0.16641123753167711</v>
      </c>
      <c r="E5">
        <v>-0.21591508612849591</v>
      </c>
      <c r="F5">
        <v>-0.41102382277758337</v>
      </c>
      <c r="G5">
        <v>-2.7847963485753545E-2</v>
      </c>
      <c r="H5">
        <v>0.35030207268940511</v>
      </c>
      <c r="I5">
        <v>0.7131203449845489</v>
      </c>
      <c r="J5">
        <v>0.13940937348402987</v>
      </c>
    </row>
    <row r="6" spans="1:10" x14ac:dyDescent="0.25">
      <c r="A6" s="20">
        <v>0.05</v>
      </c>
      <c r="B6" s="21">
        <v>0.12166767146044984</v>
      </c>
      <c r="C6">
        <v>0.23571844561537514</v>
      </c>
      <c r="D6">
        <v>0.15412849289647806</v>
      </c>
      <c r="E6">
        <v>-0.13713481798592758</v>
      </c>
      <c r="F6">
        <v>-0.29518380627245028</v>
      </c>
      <c r="G6">
        <v>2.1721052292011473E-3</v>
      </c>
      <c r="H6">
        <v>0.32173416773924357</v>
      </c>
      <c r="I6">
        <v>0.59618165431785852</v>
      </c>
      <c r="J6">
        <v>0.12238375846022169</v>
      </c>
    </row>
    <row r="7" spans="1:10" x14ac:dyDescent="0.25">
      <c r="A7" s="20">
        <v>0.06</v>
      </c>
      <c r="B7" s="21">
        <v>0.11127830603721106</v>
      </c>
      <c r="C7">
        <v>0.18589299658926628</v>
      </c>
      <c r="D7">
        <v>0.14184561450264582</v>
      </c>
      <c r="E7">
        <v>-5.8354477438829259E-2</v>
      </c>
      <c r="F7">
        <v>-0.17934397431749177</v>
      </c>
      <c r="G7">
        <v>3.2192141309984539E-2</v>
      </c>
      <c r="H7">
        <v>0.29316617100598347</v>
      </c>
      <c r="I7">
        <v>0.47924333504693128</v>
      </c>
      <c r="J7">
        <v>0.10535819330150954</v>
      </c>
    </row>
    <row r="8" spans="1:10" x14ac:dyDescent="0.25">
      <c r="A8" s="20">
        <v>7.0000000000000007E-2</v>
      </c>
      <c r="B8" s="21">
        <v>0.10944437788298432</v>
      </c>
      <c r="C8">
        <v>0.13606760402040941</v>
      </c>
      <c r="D8">
        <v>0.12956279711217522</v>
      </c>
      <c r="E8">
        <v>2.0425735281424794E-2</v>
      </c>
      <c r="F8">
        <v>-6.3503916973900454E-2</v>
      </c>
      <c r="G8">
        <v>6.2212259103404964E-2</v>
      </c>
      <c r="H8">
        <v>0.26459812813259848</v>
      </c>
      <c r="I8">
        <v>0.36230475668926093</v>
      </c>
      <c r="J8">
        <v>8.8332636634626691E-2</v>
      </c>
    </row>
    <row r="9" spans="1:10" x14ac:dyDescent="0.25">
      <c r="A9" s="20">
        <v>0.08</v>
      </c>
      <c r="B9" s="21">
        <v>0.11657038065331507</v>
      </c>
      <c r="C9">
        <v>8.6242226174427866E-2</v>
      </c>
      <c r="D9">
        <v>0.11728015150490555</v>
      </c>
      <c r="E9">
        <v>9.9205991062080598E-2</v>
      </c>
      <c r="F9">
        <v>5.2336124505650554E-2</v>
      </c>
      <c r="G9">
        <v>9.2232457662779876E-2</v>
      </c>
      <c r="H9">
        <v>0.23603036865122667</v>
      </c>
      <c r="I9">
        <v>0.24536571122778661</v>
      </c>
      <c r="J9">
        <v>7.1306969211142379E-2</v>
      </c>
    </row>
    <row r="10" spans="1:10" x14ac:dyDescent="0.25">
      <c r="A10" s="20">
        <v>0.09</v>
      </c>
      <c r="B10" s="21">
        <v>0.13120444649818869</v>
      </c>
      <c r="C10">
        <v>3.6416862562572087E-2</v>
      </c>
      <c r="D10">
        <v>0.10499736272894336</v>
      </c>
      <c r="E10">
        <v>0.17798623423944407</v>
      </c>
      <c r="F10">
        <v>0.16817615557709067</v>
      </c>
      <c r="G10">
        <v>0.12225268273724342</v>
      </c>
      <c r="H10">
        <v>0.20746234021385088</v>
      </c>
      <c r="I10">
        <v>0.12842693336476424</v>
      </c>
      <c r="J10">
        <v>5.4281428576091181E-2</v>
      </c>
    </row>
    <row r="11" spans="1:10" x14ac:dyDescent="0.25">
      <c r="A11" s="20">
        <v>0.1</v>
      </c>
      <c r="B11" s="21">
        <v>0.1511817821561684</v>
      </c>
      <c r="C11">
        <v>-1.3408391128244872E-2</v>
      </c>
      <c r="D11">
        <v>9.2714522295286594E-2</v>
      </c>
      <c r="E11">
        <v>0.25676658893795706</v>
      </c>
      <c r="F11">
        <v>0.28401609290704305</v>
      </c>
      <c r="G11">
        <v>0.15227291608103868</v>
      </c>
      <c r="H11">
        <v>0.17889431333921804</v>
      </c>
      <c r="I11">
        <v>1.1488128791612075E-2</v>
      </c>
      <c r="J11">
        <v>3.7255828776089316E-2</v>
      </c>
    </row>
    <row r="12" spans="1:10" x14ac:dyDescent="0.25">
      <c r="A12" s="20">
        <v>0.11</v>
      </c>
      <c r="B12" s="21">
        <v>0.17467863942313189</v>
      </c>
      <c r="C12">
        <v>-6.3233857579505323E-2</v>
      </c>
      <c r="D12">
        <v>8.0431740285504885E-2</v>
      </c>
      <c r="E12">
        <v>0.33554681440524414</v>
      </c>
      <c r="F12">
        <v>0.39985599533236427</v>
      </c>
      <c r="G12">
        <v>0.18229329057835819</v>
      </c>
      <c r="H12">
        <v>0.15032640930385302</v>
      </c>
      <c r="I12">
        <v>-0.10545067189166496</v>
      </c>
      <c r="J12">
        <v>2.023027956584586E-2</v>
      </c>
    </row>
    <row r="13" spans="1:10" x14ac:dyDescent="0.25">
      <c r="A13" s="20">
        <v>0.12</v>
      </c>
      <c r="B13" s="21">
        <v>0.20046120339590826</v>
      </c>
      <c r="C13">
        <v>-0.11305928339376267</v>
      </c>
      <c r="D13">
        <v>6.8148923793201532E-2</v>
      </c>
      <c r="E13">
        <v>0.41432717107500744</v>
      </c>
      <c r="F13">
        <v>0.51569594685720543</v>
      </c>
      <c r="G13">
        <v>0.21231342109489057</v>
      </c>
      <c r="H13">
        <v>0.12175855637252961</v>
      </c>
      <c r="I13">
        <v>-0.22238949530978516</v>
      </c>
      <c r="J13">
        <v>3.2047595107130592E-3</v>
      </c>
    </row>
    <row r="14" spans="1:10" x14ac:dyDescent="0.25">
      <c r="A14" s="20">
        <v>0.13</v>
      </c>
      <c r="B14" s="21">
        <v>0.22775454489352032</v>
      </c>
      <c r="C14">
        <v>-0.16288463861716948</v>
      </c>
      <c r="D14">
        <v>5.5866155802442967E-2</v>
      </c>
      <c r="E14">
        <v>0.49310748812787702</v>
      </c>
      <c r="F14">
        <v>0.63153585072659169</v>
      </c>
      <c r="G14">
        <v>0.24233374235104985</v>
      </c>
      <c r="H14">
        <v>9.3190697650517962E-2</v>
      </c>
      <c r="I14">
        <v>-0.33932843745400321</v>
      </c>
      <c r="J14">
        <v>-1.3820858587306691E-2</v>
      </c>
    </row>
  </sheetData>
  <mergeCells count="1">
    <mergeCell ref="D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Returns</vt:lpstr>
      <vt:lpstr>Correlation Matrix</vt:lpstr>
      <vt:lpstr>Covar Matrix</vt:lpstr>
      <vt:lpstr>Efficient Frontier</vt:lpstr>
      <vt:lpstr>AAPL</vt:lpstr>
      <vt:lpstr>DIS</vt:lpstr>
      <vt:lpstr>GE</vt:lpstr>
      <vt:lpstr>MRK</vt:lpstr>
      <vt:lpstr>PRU</vt:lpstr>
      <vt:lpstr>PZZA</vt:lpstr>
      <vt:lpstr>SP</vt:lpstr>
      <vt:lpstr>UAL</vt:lpstr>
      <vt:lpstr>XOM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wreese</dc:creator>
  <cp:lastModifiedBy>Reese, William A</cp:lastModifiedBy>
  <dcterms:created xsi:type="dcterms:W3CDTF">2009-05-12T21:15:13Z</dcterms:created>
  <dcterms:modified xsi:type="dcterms:W3CDTF">2019-09-04T20:38:28Z</dcterms:modified>
</cp:coreProperties>
</file>